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VJ\Ucto 2020\"/>
    </mc:Choice>
  </mc:AlternateContent>
  <xr:revisionPtr revIDLastSave="0" documentId="8_{8499AEBA-47B4-41C1-90EE-D192C4901B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lužby 2020" sheetId="19" r:id="rId1"/>
  </sheets>
  <externalReferences>
    <externalReference r:id="rId2"/>
  </externalReferences>
  <definedNames>
    <definedName name="Excel_BuiltIn_Print_Titles_1_1">#REF!</definedName>
    <definedName name="FukceAO">[1]Číselníky!#REF!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8" i="19" l="1"/>
  <c r="F408" i="19" s="1"/>
  <c r="H408" i="19" s="1"/>
  <c r="G406" i="19"/>
  <c r="F404" i="19"/>
  <c r="J404" i="19" s="1"/>
  <c r="E404" i="19"/>
  <c r="F403" i="19"/>
  <c r="J403" i="19" s="1"/>
  <c r="F399" i="19"/>
  <c r="G399" i="19" s="1"/>
  <c r="F398" i="19"/>
  <c r="H398" i="19" s="1"/>
  <c r="I397" i="19"/>
  <c r="E396" i="19"/>
  <c r="H396" i="19" s="1"/>
  <c r="F395" i="19"/>
  <c r="G395" i="19" s="1"/>
  <c r="G394" i="19"/>
  <c r="E393" i="19"/>
  <c r="F392" i="19"/>
  <c r="G392" i="19" s="1"/>
  <c r="F391" i="19"/>
  <c r="G391" i="19" s="1"/>
  <c r="F390" i="19"/>
  <c r="G390" i="19" s="1"/>
  <c r="F389" i="19"/>
  <c r="H389" i="19" s="1"/>
  <c r="G388" i="19"/>
  <c r="F387" i="19"/>
  <c r="G387" i="19" s="1"/>
  <c r="E374" i="19"/>
  <c r="F374" i="19" s="1"/>
  <c r="G374" i="19" s="1"/>
  <c r="E373" i="19"/>
  <c r="F373" i="19" s="1"/>
  <c r="E372" i="19"/>
  <c r="E371" i="19"/>
  <c r="F371" i="19" s="1"/>
  <c r="G371" i="19" s="1"/>
  <c r="E370" i="19"/>
  <c r="F370" i="19" s="1"/>
  <c r="G370" i="19" s="1"/>
  <c r="E369" i="19"/>
  <c r="F369" i="19" s="1"/>
  <c r="E368" i="19"/>
  <c r="E367" i="19"/>
  <c r="F367" i="19" s="1"/>
  <c r="G367" i="19" s="1"/>
  <c r="E366" i="19"/>
  <c r="F366" i="19" s="1"/>
  <c r="G366" i="19" s="1"/>
  <c r="E365" i="19"/>
  <c r="F365" i="19" s="1"/>
  <c r="E364" i="19"/>
  <c r="E327" i="19"/>
  <c r="F327" i="19" s="1"/>
  <c r="E326" i="19"/>
  <c r="F326" i="19" s="1"/>
  <c r="E325" i="19"/>
  <c r="F325" i="19" s="1"/>
  <c r="E324" i="19"/>
  <c r="F324" i="19" s="1"/>
  <c r="E323" i="19"/>
  <c r="F323" i="19" s="1"/>
  <c r="E322" i="19"/>
  <c r="F322" i="19" s="1"/>
  <c r="F321" i="19"/>
  <c r="E321" i="19"/>
  <c r="E320" i="19"/>
  <c r="F320" i="19" s="1"/>
  <c r="E319" i="19"/>
  <c r="F319" i="19" s="1"/>
  <c r="E318" i="19"/>
  <c r="F318" i="19" s="1"/>
  <c r="E317" i="19"/>
  <c r="F317" i="19" s="1"/>
  <c r="E316" i="19"/>
  <c r="F316" i="19" s="1"/>
  <c r="E311" i="19"/>
  <c r="E310" i="19"/>
  <c r="E309" i="19"/>
  <c r="E308" i="19"/>
  <c r="E307" i="19"/>
  <c r="E306" i="19"/>
  <c r="E305" i="19"/>
  <c r="E304" i="19"/>
  <c r="E303" i="19"/>
  <c r="E302" i="19"/>
  <c r="G302" i="19" s="1"/>
  <c r="H302" i="19" s="1"/>
  <c r="E301" i="19"/>
  <c r="F301" i="19" s="1"/>
  <c r="H301" i="19" s="1"/>
  <c r="E300" i="19"/>
  <c r="G300" i="19" s="1"/>
  <c r="H300" i="19" s="1"/>
  <c r="J301" i="19" s="1"/>
  <c r="E299" i="19"/>
  <c r="F299" i="19" s="1"/>
  <c r="H299" i="19" s="1"/>
  <c r="E298" i="19"/>
  <c r="E297" i="19"/>
  <c r="F297" i="19" s="1"/>
  <c r="E296" i="19"/>
  <c r="E295" i="19"/>
  <c r="F295" i="19" s="1"/>
  <c r="E294" i="19"/>
  <c r="E293" i="19"/>
  <c r="E292" i="19"/>
  <c r="E291" i="19"/>
  <c r="G291" i="19" s="1"/>
  <c r="H291" i="19" s="1"/>
  <c r="E290" i="19"/>
  <c r="F290" i="19" s="1"/>
  <c r="H290" i="19" s="1"/>
  <c r="E289" i="19"/>
  <c r="G289" i="19" s="1"/>
  <c r="H289" i="19" s="1"/>
  <c r="E288" i="19"/>
  <c r="F288" i="19" s="1"/>
  <c r="H288" i="19" s="1"/>
  <c r="I288" i="19" s="1"/>
  <c r="E287" i="19"/>
  <c r="E286" i="19"/>
  <c r="E285" i="19"/>
  <c r="F285" i="19" s="1"/>
  <c r="E284" i="19"/>
  <c r="E283" i="19"/>
  <c r="E282" i="19"/>
  <c r="G282" i="19" s="1"/>
  <c r="H282" i="19" s="1"/>
  <c r="E281" i="19"/>
  <c r="F281" i="19" s="1"/>
  <c r="H281" i="19" s="1"/>
  <c r="K281" i="19" s="1"/>
  <c r="E280" i="19"/>
  <c r="F280" i="19" s="1"/>
  <c r="H280" i="19" s="1"/>
  <c r="I280" i="19" s="1"/>
  <c r="E279" i="19"/>
  <c r="F279" i="19" s="1"/>
  <c r="H279" i="19" s="1"/>
  <c r="I279" i="19" s="1"/>
  <c r="E278" i="19"/>
  <c r="F278" i="19" s="1"/>
  <c r="H278" i="19" s="1"/>
  <c r="E277" i="19"/>
  <c r="G277" i="19" s="1"/>
  <c r="H277" i="19" s="1"/>
  <c r="E276" i="19"/>
  <c r="F276" i="19" s="1"/>
  <c r="H276" i="19" s="1"/>
  <c r="E275" i="19"/>
  <c r="E274" i="19"/>
  <c r="F274" i="19" s="1"/>
  <c r="E273" i="19"/>
  <c r="F268" i="19"/>
  <c r="G268" i="19" s="1"/>
  <c r="F267" i="19"/>
  <c r="G267" i="19" s="1"/>
  <c r="E266" i="19"/>
  <c r="F266" i="19" s="1"/>
  <c r="G266" i="19" s="1"/>
  <c r="E265" i="19"/>
  <c r="F265" i="19" s="1"/>
  <c r="G265" i="19" s="1"/>
  <c r="E264" i="19"/>
  <c r="G264" i="19" s="1"/>
  <c r="E263" i="19"/>
  <c r="G263" i="19" s="1"/>
  <c r="F262" i="19"/>
  <c r="G262" i="19" s="1"/>
  <c r="G261" i="19"/>
  <c r="F260" i="19"/>
  <c r="G260" i="19" s="1"/>
  <c r="G259" i="19"/>
  <c r="F249" i="19"/>
  <c r="G249" i="19" s="1"/>
  <c r="F248" i="19"/>
  <c r="G248" i="19" s="1"/>
  <c r="F247" i="19"/>
  <c r="G247" i="19" s="1"/>
  <c r="F246" i="19"/>
  <c r="G246" i="19" s="1"/>
  <c r="F245" i="19"/>
  <c r="G245" i="19" s="1"/>
  <c r="F244" i="19"/>
  <c r="G244" i="19" s="1"/>
  <c r="E243" i="19"/>
  <c r="F243" i="19" s="1"/>
  <c r="F242" i="19"/>
  <c r="G242" i="19" s="1"/>
  <c r="E241" i="19"/>
  <c r="G240" i="19"/>
  <c r="E239" i="19"/>
  <c r="F238" i="19"/>
  <c r="G238" i="19" s="1"/>
  <c r="G237" i="19"/>
  <c r="E236" i="19"/>
  <c r="F236" i="19" s="1"/>
  <c r="G236" i="19" s="1"/>
  <c r="F235" i="19"/>
  <c r="G235" i="19" s="1"/>
  <c r="F234" i="19"/>
  <c r="G234" i="19" s="1"/>
  <c r="E233" i="19"/>
  <c r="G233" i="19" s="1"/>
  <c r="E232" i="19"/>
  <c r="F232" i="19" s="1"/>
  <c r="F231" i="19"/>
  <c r="G231" i="19" s="1"/>
  <c r="E230" i="19"/>
  <c r="F229" i="19"/>
  <c r="G229" i="19" s="1"/>
  <c r="E228" i="19"/>
  <c r="G228" i="19" s="1"/>
  <c r="F227" i="19"/>
  <c r="G227" i="19" s="1"/>
  <c r="E222" i="19"/>
  <c r="G222" i="19" s="1"/>
  <c r="E221" i="19"/>
  <c r="G221" i="19" s="1"/>
  <c r="F216" i="19"/>
  <c r="G216" i="19" s="1"/>
  <c r="F215" i="19"/>
  <c r="G215" i="19" s="1"/>
  <c r="E214" i="19"/>
  <c r="F214" i="19" s="1"/>
  <c r="G214" i="19" s="1"/>
  <c r="E213" i="19"/>
  <c r="G213" i="19" s="1"/>
  <c r="F208" i="19"/>
  <c r="G208" i="19" s="1"/>
  <c r="F207" i="19"/>
  <c r="G207" i="19" s="1"/>
  <c r="F206" i="19"/>
  <c r="G206" i="19" s="1"/>
  <c r="F205" i="19"/>
  <c r="G205" i="19" s="1"/>
  <c r="F204" i="19"/>
  <c r="G204" i="19" s="1"/>
  <c r="F203" i="19"/>
  <c r="G203" i="19" s="1"/>
  <c r="F202" i="19"/>
  <c r="G202" i="19" s="1"/>
  <c r="F201" i="19"/>
  <c r="G201" i="19" s="1"/>
  <c r="F200" i="19"/>
  <c r="G200" i="19" s="1"/>
  <c r="F199" i="19"/>
  <c r="G199" i="19" s="1"/>
  <c r="F198" i="19"/>
  <c r="G198" i="19" s="1"/>
  <c r="F197" i="19"/>
  <c r="G197" i="19" s="1"/>
  <c r="F196" i="19"/>
  <c r="G196" i="19" s="1"/>
  <c r="F195" i="19"/>
  <c r="G195" i="19" s="1"/>
  <c r="F194" i="19"/>
  <c r="G194" i="19" s="1"/>
  <c r="F193" i="19"/>
  <c r="G193" i="19" s="1"/>
  <c r="F192" i="19"/>
  <c r="G192" i="19" s="1"/>
  <c r="F191" i="19"/>
  <c r="G191" i="19" s="1"/>
  <c r="F190" i="19"/>
  <c r="E189" i="19"/>
  <c r="G189" i="19" s="1"/>
  <c r="E188" i="19"/>
  <c r="G188" i="19" s="1"/>
  <c r="E187" i="19"/>
  <c r="G187" i="19" s="1"/>
  <c r="E186" i="19"/>
  <c r="G186" i="19" s="1"/>
  <c r="E185" i="19"/>
  <c r="G185" i="19" s="1"/>
  <c r="E184" i="19"/>
  <c r="G184" i="19" s="1"/>
  <c r="E183" i="19"/>
  <c r="G183" i="19" s="1"/>
  <c r="E182" i="19"/>
  <c r="G182" i="19" s="1"/>
  <c r="E181" i="19"/>
  <c r="G181" i="19" s="1"/>
  <c r="E180" i="19"/>
  <c r="G180" i="19" s="1"/>
  <c r="E179" i="19"/>
  <c r="G179" i="19" s="1"/>
  <c r="E178" i="19"/>
  <c r="G178" i="19" s="1"/>
  <c r="E177" i="19"/>
  <c r="G177" i="19" s="1"/>
  <c r="E176" i="19"/>
  <c r="G176" i="19" s="1"/>
  <c r="E175" i="19"/>
  <c r="G175" i="19" s="1"/>
  <c r="E174" i="19"/>
  <c r="G174" i="19" s="1"/>
  <c r="E173" i="19"/>
  <c r="G173" i="19" s="1"/>
  <c r="E172" i="19"/>
  <c r="G172" i="19" s="1"/>
  <c r="E167" i="19"/>
  <c r="F167" i="19" s="1"/>
  <c r="G167" i="19" s="1"/>
  <c r="J167" i="19" s="1"/>
  <c r="E166" i="19"/>
  <c r="E165" i="19"/>
  <c r="F165" i="19" s="1"/>
  <c r="F164" i="19"/>
  <c r="G164" i="19" s="1"/>
  <c r="J164" i="19" s="1"/>
  <c r="F163" i="19"/>
  <c r="G163" i="19" s="1"/>
  <c r="I163" i="19" s="1"/>
  <c r="F162" i="19"/>
  <c r="G162" i="19" s="1"/>
  <c r="H162" i="19" s="1"/>
  <c r="F161" i="19"/>
  <c r="G161" i="19" s="1"/>
  <c r="J161" i="19" s="1"/>
  <c r="F160" i="19"/>
  <c r="G160" i="19" s="1"/>
  <c r="I160" i="19" s="1"/>
  <c r="F159" i="19"/>
  <c r="G159" i="19" s="1"/>
  <c r="H159" i="19" s="1"/>
  <c r="F158" i="19"/>
  <c r="G158" i="19" s="1"/>
  <c r="J158" i="19" s="1"/>
  <c r="F157" i="19"/>
  <c r="G157" i="19" s="1"/>
  <c r="I157" i="19" s="1"/>
  <c r="F156" i="19"/>
  <c r="G156" i="19" s="1"/>
  <c r="H156" i="19" s="1"/>
  <c r="F155" i="19"/>
  <c r="G155" i="19" s="1"/>
  <c r="J155" i="19" s="1"/>
  <c r="F154" i="19"/>
  <c r="G154" i="19" s="1"/>
  <c r="I154" i="19" s="1"/>
  <c r="F153" i="19"/>
  <c r="G153" i="19" s="1"/>
  <c r="H153" i="19" s="1"/>
  <c r="F152" i="19"/>
  <c r="G152" i="19" s="1"/>
  <c r="J152" i="19" s="1"/>
  <c r="F151" i="19"/>
  <c r="G151" i="19" s="1"/>
  <c r="I151" i="19" s="1"/>
  <c r="F150" i="19"/>
  <c r="G150" i="19" s="1"/>
  <c r="H150" i="19" s="1"/>
  <c r="E149" i="19"/>
  <c r="G149" i="19" s="1"/>
  <c r="J149" i="19" s="1"/>
  <c r="E148" i="19"/>
  <c r="G148" i="19" s="1"/>
  <c r="I148" i="19" s="1"/>
  <c r="E147" i="19"/>
  <c r="G147" i="19" s="1"/>
  <c r="H147" i="19" s="1"/>
  <c r="E146" i="19"/>
  <c r="G146" i="19" s="1"/>
  <c r="J146" i="19" s="1"/>
  <c r="E145" i="19"/>
  <c r="G145" i="19" s="1"/>
  <c r="I145" i="19" s="1"/>
  <c r="E144" i="19"/>
  <c r="G144" i="19" s="1"/>
  <c r="H144" i="19" s="1"/>
  <c r="E143" i="19"/>
  <c r="G143" i="19" s="1"/>
  <c r="J143" i="19" s="1"/>
  <c r="E142" i="19"/>
  <c r="G142" i="19" s="1"/>
  <c r="I142" i="19" s="1"/>
  <c r="E141" i="19"/>
  <c r="G141" i="19" s="1"/>
  <c r="H141" i="19" s="1"/>
  <c r="G140" i="19"/>
  <c r="H140" i="19" s="1"/>
  <c r="E139" i="19"/>
  <c r="G139" i="19" s="1"/>
  <c r="E138" i="19"/>
  <c r="E137" i="19"/>
  <c r="G137" i="19" s="1"/>
  <c r="G136" i="19"/>
  <c r="G135" i="19"/>
  <c r="G134" i="19"/>
  <c r="G133" i="19"/>
  <c r="G132" i="19"/>
  <c r="G131" i="19"/>
  <c r="K126" i="19"/>
  <c r="J126" i="19"/>
  <c r="I126" i="19"/>
  <c r="K125" i="19"/>
  <c r="J125" i="19"/>
  <c r="I125" i="19"/>
  <c r="K123" i="19"/>
  <c r="J123" i="19"/>
  <c r="I123" i="19"/>
  <c r="K122" i="19"/>
  <c r="J122" i="19"/>
  <c r="I122" i="19"/>
  <c r="K116" i="19"/>
  <c r="J116" i="19"/>
  <c r="I116" i="19"/>
  <c r="K115" i="19"/>
  <c r="J115" i="19"/>
  <c r="I115" i="19"/>
  <c r="K113" i="19"/>
  <c r="J113" i="19"/>
  <c r="I113" i="19"/>
  <c r="K112" i="19"/>
  <c r="J112" i="19"/>
  <c r="I112" i="19"/>
  <c r="K101" i="19"/>
  <c r="J101" i="19"/>
  <c r="I101" i="19"/>
  <c r="K100" i="19"/>
  <c r="J100" i="19"/>
  <c r="I100" i="19"/>
  <c r="K107" i="19"/>
  <c r="J107" i="19"/>
  <c r="I107" i="19"/>
  <c r="K106" i="19"/>
  <c r="J106" i="19"/>
  <c r="I106" i="19"/>
  <c r="E95" i="19"/>
  <c r="D95" i="19"/>
  <c r="I95" i="19" s="1"/>
  <c r="D92" i="19"/>
  <c r="F92" i="19" s="1"/>
  <c r="D91" i="19"/>
  <c r="F89" i="19"/>
  <c r="D86" i="19"/>
  <c r="F86" i="19" s="1"/>
  <c r="D85" i="19"/>
  <c r="F83" i="19"/>
  <c r="G83" i="19" s="1"/>
  <c r="D80" i="19"/>
  <c r="F80" i="19" s="1"/>
  <c r="D79" i="19"/>
  <c r="F77" i="19"/>
  <c r="D74" i="19"/>
  <c r="F74" i="19" s="1"/>
  <c r="D73" i="19"/>
  <c r="F71" i="19"/>
  <c r="G71" i="19" s="1"/>
  <c r="H71" i="19" s="1"/>
  <c r="D68" i="19"/>
  <c r="F68" i="19" s="1"/>
  <c r="D67" i="19"/>
  <c r="F65" i="19"/>
  <c r="D62" i="19"/>
  <c r="F62" i="19" s="1"/>
  <c r="G62" i="19" s="1"/>
  <c r="D61" i="19"/>
  <c r="F59" i="19"/>
  <c r="G59" i="19" s="1"/>
  <c r="D56" i="19"/>
  <c r="F56" i="19" s="1"/>
  <c r="G56" i="19" s="1"/>
  <c r="H56" i="19" s="1"/>
  <c r="D55" i="19"/>
  <c r="F53" i="19"/>
  <c r="G53" i="19" s="1"/>
  <c r="H53" i="19" s="1"/>
  <c r="D50" i="19"/>
  <c r="F50" i="19" s="1"/>
  <c r="D49" i="19"/>
  <c r="F49" i="19" s="1"/>
  <c r="F47" i="19"/>
  <c r="D44" i="19"/>
  <c r="F44" i="19" s="1"/>
  <c r="D43" i="19"/>
  <c r="F41" i="19"/>
  <c r="D38" i="19"/>
  <c r="F38" i="19" s="1"/>
  <c r="D37" i="19"/>
  <c r="F37" i="19" s="1"/>
  <c r="G37" i="19" s="1"/>
  <c r="F35" i="19"/>
  <c r="G35" i="19" s="1"/>
  <c r="D32" i="19"/>
  <c r="F32" i="19" s="1"/>
  <c r="D31" i="19"/>
  <c r="F29" i="19"/>
  <c r="D26" i="19"/>
  <c r="F26" i="19" s="1"/>
  <c r="D25" i="19"/>
  <c r="F25" i="19" s="1"/>
  <c r="F23" i="19"/>
  <c r="G23" i="19" s="1"/>
  <c r="H22" i="19"/>
  <c r="F17" i="19"/>
  <c r="E17" i="19"/>
  <c r="F16" i="19"/>
  <c r="E16" i="19"/>
  <c r="F11" i="19"/>
  <c r="G10" i="19"/>
  <c r="H10" i="19" s="1"/>
  <c r="I10" i="19" s="1"/>
  <c r="G9" i="19"/>
  <c r="F5" i="19"/>
  <c r="E5" i="19"/>
  <c r="F4" i="19"/>
  <c r="E4" i="19"/>
  <c r="E312" i="19" l="1"/>
  <c r="F393" i="19"/>
  <c r="G393" i="19" s="1"/>
  <c r="F364" i="19"/>
  <c r="G364" i="19" s="1"/>
  <c r="G365" i="19"/>
  <c r="F368" i="19"/>
  <c r="G368" i="19" s="1"/>
  <c r="G369" i="19"/>
  <c r="F372" i="19"/>
  <c r="G372" i="19" s="1"/>
  <c r="G373" i="19"/>
  <c r="G269" i="19"/>
  <c r="K278" i="19"/>
  <c r="I290" i="19"/>
  <c r="F287" i="19"/>
  <c r="H287" i="19" s="1"/>
  <c r="G275" i="19"/>
  <c r="H275" i="19" s="1"/>
  <c r="J276" i="19" s="1"/>
  <c r="F294" i="19"/>
  <c r="H294" i="19" s="1"/>
  <c r="F296" i="19"/>
  <c r="H296" i="19" s="1"/>
  <c r="J296" i="19" s="1"/>
  <c r="G298" i="19"/>
  <c r="H298" i="19" s="1"/>
  <c r="I299" i="19" s="1"/>
  <c r="F269" i="19"/>
  <c r="H285" i="19"/>
  <c r="E269" i="19"/>
  <c r="H274" i="19"/>
  <c r="G286" i="19"/>
  <c r="H286" i="19" s="1"/>
  <c r="K287" i="19" s="1"/>
  <c r="H295" i="19"/>
  <c r="J295" i="19" s="1"/>
  <c r="H297" i="19"/>
  <c r="K297" i="19" s="1"/>
  <c r="G273" i="19"/>
  <c r="F283" i="19"/>
  <c r="H283" i="19" s="1"/>
  <c r="I283" i="19" s="1"/>
  <c r="G284" i="19"/>
  <c r="H284" i="19" s="1"/>
  <c r="F292" i="19"/>
  <c r="H292" i="19" s="1"/>
  <c r="J292" i="19" s="1"/>
  <c r="G293" i="19"/>
  <c r="H293" i="19" s="1"/>
  <c r="F303" i="19"/>
  <c r="H303" i="19" s="1"/>
  <c r="K303" i="19" s="1"/>
  <c r="F304" i="19"/>
  <c r="H304" i="19" s="1"/>
  <c r="J304" i="19" s="1"/>
  <c r="F305" i="19"/>
  <c r="H305" i="19" s="1"/>
  <c r="J305" i="19" s="1"/>
  <c r="F306" i="19"/>
  <c r="H306" i="19" s="1"/>
  <c r="J306" i="19" s="1"/>
  <c r="F307" i="19"/>
  <c r="H307" i="19" s="1"/>
  <c r="J307" i="19" s="1"/>
  <c r="F308" i="19"/>
  <c r="H308" i="19" s="1"/>
  <c r="J308" i="19" s="1"/>
  <c r="F309" i="19"/>
  <c r="H309" i="19" s="1"/>
  <c r="J309" i="19" s="1"/>
  <c r="F310" i="19"/>
  <c r="H310" i="19" s="1"/>
  <c r="J310" i="19" s="1"/>
  <c r="F311" i="19"/>
  <c r="H311" i="19" s="1"/>
  <c r="J311" i="19" s="1"/>
  <c r="E250" i="19"/>
  <c r="G243" i="19"/>
  <c r="G232" i="19"/>
  <c r="F230" i="19"/>
  <c r="G230" i="19" s="1"/>
  <c r="F239" i="19"/>
  <c r="G239" i="19" s="1"/>
  <c r="F241" i="19"/>
  <c r="G241" i="19" s="1"/>
  <c r="G217" i="19"/>
  <c r="G17" i="19"/>
  <c r="H17" i="19" s="1"/>
  <c r="I17" i="19" s="1"/>
  <c r="E217" i="19"/>
  <c r="F209" i="19"/>
  <c r="F217" i="19"/>
  <c r="J140" i="19"/>
  <c r="I140" i="19"/>
  <c r="E168" i="19"/>
  <c r="E209" i="19"/>
  <c r="G190" i="19"/>
  <c r="G209" i="19" s="1"/>
  <c r="E126" i="19"/>
  <c r="F126" i="19" s="1"/>
  <c r="G126" i="19" s="1"/>
  <c r="D54" i="19"/>
  <c r="D58" i="19" s="1"/>
  <c r="D57" i="19" s="1"/>
  <c r="F57" i="19" s="1"/>
  <c r="G57" i="19" s="1"/>
  <c r="G138" i="19"/>
  <c r="I64" i="19"/>
  <c r="D66" i="19"/>
  <c r="D70" i="19" s="1"/>
  <c r="D69" i="19" s="1"/>
  <c r="F69" i="19" s="1"/>
  <c r="G69" i="19" s="1"/>
  <c r="H69" i="19" s="1"/>
  <c r="I94" i="19"/>
  <c r="E123" i="19"/>
  <c r="F123" i="19" s="1"/>
  <c r="G123" i="19" s="1"/>
  <c r="E125" i="19"/>
  <c r="F125" i="19" s="1"/>
  <c r="G125" i="19" s="1"/>
  <c r="F166" i="19"/>
  <c r="G166" i="19" s="1"/>
  <c r="I166" i="19" s="1"/>
  <c r="D60" i="19"/>
  <c r="D64" i="19" s="1"/>
  <c r="D63" i="19" s="1"/>
  <c r="F63" i="19" s="1"/>
  <c r="G63" i="19" s="1"/>
  <c r="G165" i="19"/>
  <c r="H165" i="19" s="1"/>
  <c r="E116" i="19"/>
  <c r="F116" i="19" s="1"/>
  <c r="G116" i="19" s="1"/>
  <c r="E122" i="19"/>
  <c r="E100" i="19"/>
  <c r="F100" i="19" s="1"/>
  <c r="E112" i="19"/>
  <c r="F112" i="19" s="1"/>
  <c r="G112" i="19" s="1"/>
  <c r="I46" i="19"/>
  <c r="E101" i="19"/>
  <c r="F101" i="19" s="1"/>
  <c r="G101" i="19" s="1"/>
  <c r="E113" i="19"/>
  <c r="F113" i="19" s="1"/>
  <c r="E115" i="19"/>
  <c r="F115" i="19" s="1"/>
  <c r="G115" i="19" s="1"/>
  <c r="E107" i="19"/>
  <c r="F107" i="19" s="1"/>
  <c r="G107" i="19" s="1"/>
  <c r="E106" i="19"/>
  <c r="F106" i="19" s="1"/>
  <c r="G106" i="19" s="1"/>
  <c r="I58" i="19"/>
  <c r="D78" i="19"/>
  <c r="D82" i="19" s="1"/>
  <c r="D81" i="19" s="1"/>
  <c r="F81" i="19" s="1"/>
  <c r="G81" i="19" s="1"/>
  <c r="H81" i="19" s="1"/>
  <c r="F95" i="19"/>
  <c r="G95" i="19" s="1"/>
  <c r="H95" i="19" s="1"/>
  <c r="D36" i="19"/>
  <c r="D40" i="19" s="1"/>
  <c r="D39" i="19" s="1"/>
  <c r="F39" i="19" s="1"/>
  <c r="G39" i="19" s="1"/>
  <c r="F55" i="19"/>
  <c r="G55" i="19" s="1"/>
  <c r="H55" i="19" s="1"/>
  <c r="I82" i="19"/>
  <c r="F91" i="19"/>
  <c r="G91" i="19" s="1"/>
  <c r="H91" i="19" s="1"/>
  <c r="I34" i="19"/>
  <c r="F79" i="19"/>
  <c r="G79" i="19" s="1"/>
  <c r="H79" i="19" s="1"/>
  <c r="F67" i="19"/>
  <c r="G67" i="19" s="1"/>
  <c r="H67" i="19" s="1"/>
  <c r="F61" i="19"/>
  <c r="G61" i="19" s="1"/>
  <c r="D72" i="19"/>
  <c r="D76" i="19" s="1"/>
  <c r="D75" i="19" s="1"/>
  <c r="F75" i="19" s="1"/>
  <c r="H23" i="19"/>
  <c r="G38" i="19"/>
  <c r="H38" i="19" s="1"/>
  <c r="G86" i="19"/>
  <c r="H86" i="19" s="1"/>
  <c r="G32" i="19"/>
  <c r="H32" i="19" s="1"/>
  <c r="F31" i="19"/>
  <c r="F43" i="19"/>
  <c r="G43" i="19" s="1"/>
  <c r="H43" i="19" s="1"/>
  <c r="G77" i="19"/>
  <c r="H77" i="19" s="1"/>
  <c r="G80" i="19"/>
  <c r="H80" i="19" s="1"/>
  <c r="I88" i="19"/>
  <c r="D90" i="19"/>
  <c r="K94" i="19" s="1"/>
  <c r="D30" i="19"/>
  <c r="G16" i="19"/>
  <c r="H16" i="19" s="1"/>
  <c r="I16" i="19" s="1"/>
  <c r="D24" i="19"/>
  <c r="K28" i="19" s="1"/>
  <c r="G29" i="19"/>
  <c r="I40" i="19"/>
  <c r="D42" i="19"/>
  <c r="K46" i="19" s="1"/>
  <c r="G47" i="19"/>
  <c r="H47" i="19" s="1"/>
  <c r="I70" i="19"/>
  <c r="D84" i="19"/>
  <c r="F85" i="19"/>
  <c r="G11" i="19"/>
  <c r="H37" i="19"/>
  <c r="H62" i="19"/>
  <c r="K95" i="19"/>
  <c r="G68" i="19"/>
  <c r="H68" i="19" s="1"/>
  <c r="G25" i="19"/>
  <c r="H25" i="19" s="1"/>
  <c r="I28" i="19"/>
  <c r="F73" i="19"/>
  <c r="I76" i="19"/>
  <c r="G26" i="19"/>
  <c r="H26" i="19" s="1"/>
  <c r="G44" i="19"/>
  <c r="H44" i="19" s="1"/>
  <c r="D48" i="19"/>
  <c r="G65" i="19"/>
  <c r="G74" i="19"/>
  <c r="H74" i="19" s="1"/>
  <c r="G49" i="19"/>
  <c r="H49" i="19" s="1"/>
  <c r="I52" i="19"/>
  <c r="G41" i="19"/>
  <c r="G50" i="19"/>
  <c r="H50" i="19" s="1"/>
  <c r="H35" i="19"/>
  <c r="H59" i="19"/>
  <c r="H83" i="19"/>
  <c r="G89" i="19"/>
  <c r="G92" i="19"/>
  <c r="H92" i="19" s="1"/>
  <c r="F6" i="19"/>
  <c r="H9" i="19"/>
  <c r="G4" i="19"/>
  <c r="H4" i="19" s="1"/>
  <c r="G5" i="19"/>
  <c r="H5" i="19" s="1"/>
  <c r="H57" i="19" l="1"/>
  <c r="G250" i="19"/>
  <c r="K70" i="19"/>
  <c r="H273" i="19"/>
  <c r="G312" i="19"/>
  <c r="J285" i="19"/>
  <c r="F312" i="19"/>
  <c r="K294" i="19"/>
  <c r="K58" i="19"/>
  <c r="F250" i="19"/>
  <c r="H63" i="19"/>
  <c r="F168" i="19"/>
  <c r="G168" i="19"/>
  <c r="K64" i="19"/>
  <c r="F54" i="19"/>
  <c r="F58" i="19" s="1"/>
  <c r="F66" i="19"/>
  <c r="G66" i="19" s="1"/>
  <c r="H66" i="19" s="1"/>
  <c r="G108" i="19"/>
  <c r="G100" i="19"/>
  <c r="F60" i="19"/>
  <c r="F64" i="19" s="1"/>
  <c r="K82" i="19"/>
  <c r="F78" i="19"/>
  <c r="F122" i="19"/>
  <c r="G122" i="19" s="1"/>
  <c r="G113" i="19"/>
  <c r="F72" i="19"/>
  <c r="G72" i="19" s="1"/>
  <c r="H72" i="19" s="1"/>
  <c r="H61" i="19"/>
  <c r="K76" i="19"/>
  <c r="I96" i="19"/>
  <c r="F36" i="19"/>
  <c r="K40" i="19"/>
  <c r="H39" i="19"/>
  <c r="J95" i="19"/>
  <c r="L95" i="19"/>
  <c r="D94" i="19"/>
  <c r="D93" i="19" s="1"/>
  <c r="F93" i="19" s="1"/>
  <c r="G93" i="19" s="1"/>
  <c r="H93" i="19" s="1"/>
  <c r="F90" i="19"/>
  <c r="D28" i="19"/>
  <c r="D46" i="19"/>
  <c r="D45" i="19" s="1"/>
  <c r="F45" i="19" s="1"/>
  <c r="G45" i="19" s="1"/>
  <c r="H45" i="19" s="1"/>
  <c r="F42" i="19"/>
  <c r="F24" i="19"/>
  <c r="G24" i="19" s="1"/>
  <c r="G85" i="19"/>
  <c r="H85" i="19" s="1"/>
  <c r="D88" i="19"/>
  <c r="D87" i="19" s="1"/>
  <c r="F87" i="19" s="1"/>
  <c r="K88" i="19"/>
  <c r="F84" i="19"/>
  <c r="H29" i="19"/>
  <c r="D34" i="19"/>
  <c r="D33" i="19" s="1"/>
  <c r="F33" i="19" s="1"/>
  <c r="K34" i="19"/>
  <c r="F30" i="19"/>
  <c r="G31" i="19"/>
  <c r="H31" i="19" s="1"/>
  <c r="G75" i="19"/>
  <c r="H75" i="19" s="1"/>
  <c r="H89" i="19"/>
  <c r="G73" i="19"/>
  <c r="H73" i="19" s="1"/>
  <c r="H41" i="19"/>
  <c r="H65" i="19"/>
  <c r="K52" i="19"/>
  <c r="F48" i="19"/>
  <c r="D52" i="19"/>
  <c r="D51" i="19" s="1"/>
  <c r="F51" i="19" s="1"/>
  <c r="I9" i="19"/>
  <c r="I11" i="19" s="1"/>
  <c r="H11" i="19"/>
  <c r="I4" i="19"/>
  <c r="H6" i="19"/>
  <c r="G6" i="19"/>
  <c r="I5" i="19"/>
  <c r="I274" i="19" l="1"/>
  <c r="H312" i="19"/>
  <c r="F70" i="19"/>
  <c r="H70" i="19"/>
  <c r="J70" i="19" s="1"/>
  <c r="G70" i="19"/>
  <c r="G54" i="19"/>
  <c r="G58" i="19" s="1"/>
  <c r="F76" i="19"/>
  <c r="G60" i="19"/>
  <c r="G64" i="19" s="1"/>
  <c r="G78" i="19"/>
  <c r="F82" i="19"/>
  <c r="K96" i="19"/>
  <c r="D27" i="19"/>
  <c r="F27" i="19" s="1"/>
  <c r="D96" i="19"/>
  <c r="G36" i="19"/>
  <c r="G40" i="19" s="1"/>
  <c r="F40" i="19"/>
  <c r="G84" i="19"/>
  <c r="F88" i="19"/>
  <c r="G90" i="19"/>
  <c r="F94" i="19"/>
  <c r="G30" i="19"/>
  <c r="H30" i="19" s="1"/>
  <c r="F34" i="19"/>
  <c r="G42" i="19"/>
  <c r="F46" i="19"/>
  <c r="G87" i="19"/>
  <c r="H87" i="19" s="1"/>
  <c r="G33" i="19"/>
  <c r="H33" i="19" s="1"/>
  <c r="H76" i="19"/>
  <c r="L70" i="19"/>
  <c r="H24" i="19"/>
  <c r="G51" i="19"/>
  <c r="H51" i="19" s="1"/>
  <c r="G48" i="19"/>
  <c r="F52" i="19"/>
  <c r="G76" i="19"/>
  <c r="I6" i="19"/>
  <c r="H60" i="19" l="1"/>
  <c r="H64" i="19" s="1"/>
  <c r="J64" i="19" s="1"/>
  <c r="G52" i="19"/>
  <c r="H54" i="19"/>
  <c r="H58" i="19" s="1"/>
  <c r="L58" i="19" s="1"/>
  <c r="H78" i="19"/>
  <c r="H82" i="19" s="1"/>
  <c r="G82" i="19"/>
  <c r="H36" i="19"/>
  <c r="H40" i="19" s="1"/>
  <c r="G27" i="19"/>
  <c r="F28" i="19"/>
  <c r="F96" i="19" s="1"/>
  <c r="G88" i="19"/>
  <c r="H34" i="19"/>
  <c r="J34" i="19" s="1"/>
  <c r="H42" i="19"/>
  <c r="H46" i="19" s="1"/>
  <c r="G46" i="19"/>
  <c r="H84" i="19"/>
  <c r="H88" i="19" s="1"/>
  <c r="H90" i="19"/>
  <c r="H94" i="19" s="1"/>
  <c r="G94" i="19"/>
  <c r="H48" i="19"/>
  <c r="H52" i="19" s="1"/>
  <c r="G34" i="19"/>
  <c r="L76" i="19"/>
  <c r="J76" i="19"/>
  <c r="L64" i="19" l="1"/>
  <c r="J58" i="19"/>
  <c r="L82" i="19"/>
  <c r="J82" i="19"/>
  <c r="L34" i="19"/>
  <c r="H27" i="19"/>
  <c r="H28" i="19" s="1"/>
  <c r="G28" i="19"/>
  <c r="G96" i="19" s="1"/>
  <c r="J40" i="19"/>
  <c r="L40" i="19"/>
  <c r="L46" i="19"/>
  <c r="J46" i="19"/>
  <c r="L94" i="19"/>
  <c r="J94" i="19"/>
  <c r="L88" i="19"/>
  <c r="J88" i="19"/>
  <c r="L52" i="19"/>
  <c r="J52" i="19"/>
  <c r="H96" i="19" l="1"/>
  <c r="L28" i="19"/>
  <c r="L96" i="19" s="1"/>
  <c r="J28" i="19"/>
  <c r="J96" i="19" s="1"/>
  <c r="E333" i="19" l="1"/>
  <c r="F223" i="19"/>
  <c r="K327" i="19"/>
  <c r="G325" i="19"/>
  <c r="K324" i="19"/>
  <c r="G321" i="19"/>
  <c r="K320" i="19"/>
  <c r="G317" i="19"/>
  <c r="K316" i="19"/>
  <c r="F255" i="19"/>
  <c r="J139" i="19"/>
  <c r="I138" i="19"/>
  <c r="H137" i="19"/>
  <c r="J136" i="19"/>
  <c r="I135" i="19"/>
  <c r="H134" i="19"/>
  <c r="J133" i="19"/>
  <c r="H131" i="19"/>
  <c r="F18" i="19"/>
  <c r="H168" i="19" l="1"/>
  <c r="J168" i="19"/>
  <c r="E360" i="19"/>
  <c r="I385" i="19"/>
  <c r="G385" i="19"/>
  <c r="I328" i="19"/>
  <c r="E328" i="19"/>
  <c r="I108" i="19"/>
  <c r="I127" i="19"/>
  <c r="E255" i="19"/>
  <c r="G18" i="19"/>
  <c r="E223" i="19"/>
  <c r="I117" i="19"/>
  <c r="I102" i="19"/>
  <c r="G318" i="19"/>
  <c r="K317" i="19"/>
  <c r="G223" i="19"/>
  <c r="K321" i="19"/>
  <c r="K318" i="19"/>
  <c r="K319" i="19"/>
  <c r="I132" i="19"/>
  <c r="I168" i="19" s="1"/>
  <c r="H385" i="19"/>
  <c r="G322" i="19"/>
  <c r="G324" i="19"/>
  <c r="G326" i="19"/>
  <c r="G327" i="19"/>
  <c r="G319" i="19"/>
  <c r="G320" i="19"/>
  <c r="K322" i="19"/>
  <c r="K323" i="19"/>
  <c r="K325" i="19"/>
  <c r="G323" i="19"/>
  <c r="K326" i="19"/>
  <c r="G381" i="19" l="1"/>
  <c r="K328" i="19"/>
  <c r="F328" i="19"/>
  <c r="J328" i="19"/>
  <c r="G316" i="19"/>
  <c r="G328" i="19" s="1"/>
  <c r="G255" i="19"/>
  <c r="H18" i="19"/>
  <c r="E127" i="19"/>
  <c r="E108" i="19"/>
  <c r="E117" i="19"/>
  <c r="J312" i="19"/>
  <c r="E102" i="19"/>
  <c r="E11" i="19"/>
  <c r="F102" i="19"/>
  <c r="F108" i="19"/>
  <c r="K312" i="19" l="1"/>
  <c r="F127" i="19"/>
  <c r="I18" i="19"/>
  <c r="F117" i="19"/>
  <c r="G127" i="19"/>
  <c r="I12" i="19"/>
  <c r="G102" i="19"/>
  <c r="I312" i="19"/>
  <c r="G117" i="19"/>
  <c r="E18" i="19" l="1"/>
  <c r="G118" i="19"/>
  <c r="E6" i="19"/>
</calcChain>
</file>

<file path=xl/sharedStrings.xml><?xml version="1.0" encoding="utf-8"?>
<sst xmlns="http://schemas.openxmlformats.org/spreadsheetml/2006/main" count="780" uniqueCount="437">
  <si>
    <t>Celkem</t>
  </si>
  <si>
    <t>Dodavatel</t>
  </si>
  <si>
    <t>Předmět fakturace</t>
  </si>
  <si>
    <t>Variabilní symbol</t>
  </si>
  <si>
    <t>Sazba</t>
  </si>
  <si>
    <t>Spotřeba</t>
  </si>
  <si>
    <t>Fakturovaná částka</t>
  </si>
  <si>
    <t>DPH 15 %</t>
  </si>
  <si>
    <t>PVK a.s.</t>
  </si>
  <si>
    <t>DPH 21 %</t>
  </si>
  <si>
    <t>kWh</t>
  </si>
  <si>
    <t>Kč/kWh</t>
  </si>
  <si>
    <t>stálý plat v Kč celkem</t>
  </si>
  <si>
    <t>Hl.m.Praha</t>
  </si>
  <si>
    <t>DPH</t>
  </si>
  <si>
    <t>Pojištění</t>
  </si>
  <si>
    <t>RVW Facility, s.r.o.</t>
  </si>
  <si>
    <t>RVW Facility s.r.o.</t>
  </si>
  <si>
    <t>BYTOSERVIS - NON STOP s.r.o.</t>
  </si>
  <si>
    <t>Výtahy</t>
  </si>
  <si>
    <t>Ostatní provozní náklady</t>
  </si>
  <si>
    <t>I.RTN s.r.o.</t>
  </si>
  <si>
    <t>údržba a opravy garáže</t>
  </si>
  <si>
    <t>Vodné stočné SV</t>
  </si>
  <si>
    <t>Pražská energetika, a.s.</t>
  </si>
  <si>
    <t>Úklid dům vnitřní</t>
  </si>
  <si>
    <t>Úklid venkovní</t>
  </si>
  <si>
    <t>Úklid garáže</t>
  </si>
  <si>
    <t>Odvoz odpadu</t>
  </si>
  <si>
    <t>Údržba dům</t>
  </si>
  <si>
    <t>Údržba zeleně</t>
  </si>
  <si>
    <t>Správa dům</t>
  </si>
  <si>
    <t>Fon oprav</t>
  </si>
  <si>
    <t>Srážkové vody</t>
  </si>
  <si>
    <t>CELKEM</t>
  </si>
  <si>
    <t>Vodné stočné TV</t>
  </si>
  <si>
    <t xml:space="preserve">Teplo </t>
  </si>
  <si>
    <t>ÚT</t>
  </si>
  <si>
    <t>ohřev TV</t>
  </si>
  <si>
    <t>GJ</t>
  </si>
  <si>
    <t>cena za jednotku</t>
  </si>
  <si>
    <t>cena celkem</t>
  </si>
  <si>
    <t>sazba DPH</t>
  </si>
  <si>
    <t>cena celkem s DPH</t>
  </si>
  <si>
    <t>spotřeba</t>
  </si>
  <si>
    <t>Kč</t>
  </si>
  <si>
    <t>Platba R2</t>
  </si>
  <si>
    <t>R1 - TUV</t>
  </si>
  <si>
    <t>R1 UT nebyt</t>
  </si>
  <si>
    <t>R1 UT byt</t>
  </si>
  <si>
    <t>stanice - distriguce tepla</t>
  </si>
  <si>
    <t>vyúčtování platbyR1</t>
  </si>
  <si>
    <t>Elektřina režie + výtah 2537/12</t>
  </si>
  <si>
    <t>1151 5799</t>
  </si>
  <si>
    <t>W0200002</t>
  </si>
  <si>
    <t>režie+výtah 2537/12</t>
  </si>
  <si>
    <t>Elektřina režie + výtah 2538/10</t>
  </si>
  <si>
    <t>1151 5815</t>
  </si>
  <si>
    <t>W020004</t>
  </si>
  <si>
    <t>režie + výtah 2538/10</t>
  </si>
  <si>
    <t>Elektřina režie + výtah 2539/8</t>
  </si>
  <si>
    <t>1151 5850</t>
  </si>
  <si>
    <t>W051272</t>
  </si>
  <si>
    <t>režie 2539/8</t>
  </si>
  <si>
    <t>1154 5843</t>
  </si>
  <si>
    <t>W020200</t>
  </si>
  <si>
    <t>výtah 2539/8</t>
  </si>
  <si>
    <t>Elektřina garáže</t>
  </si>
  <si>
    <t>1151 5832</t>
  </si>
  <si>
    <t>W020205</t>
  </si>
  <si>
    <t>garáže 2537/12</t>
  </si>
  <si>
    <t>1151 5839</t>
  </si>
  <si>
    <t>W020005</t>
  </si>
  <si>
    <t>garáže sut. 2538/10</t>
  </si>
  <si>
    <t>DPH %</t>
  </si>
  <si>
    <t>2700190110</t>
  </si>
  <si>
    <t>KALTMEYER s.r.o.</t>
  </si>
  <si>
    <t>Michal Dvořák - servis, s.r.o.</t>
  </si>
  <si>
    <t>Radek Řeřicha</t>
  </si>
  <si>
    <t>Demarsh-Plus s.r.o.</t>
  </si>
  <si>
    <t>OTIS a.s.</t>
  </si>
  <si>
    <t>ČSOB Pojišťovna a.s.</t>
  </si>
  <si>
    <t>NetContulting</t>
  </si>
  <si>
    <t>Jan Rosenauer - Studio JkR</t>
  </si>
  <si>
    <t>Mzdy</t>
  </si>
  <si>
    <t>Kooperativa pojišťovna a.s.</t>
  </si>
  <si>
    <t>opravy</t>
  </si>
  <si>
    <t>revize</t>
  </si>
  <si>
    <t>LB MONTEKO s.r.o.</t>
  </si>
  <si>
    <t>roční revize zařízení pro odvod kouře a tepla ZOKT</t>
  </si>
  <si>
    <t>PO servis s.r.o.</t>
  </si>
  <si>
    <t>REVIST s.r.o.</t>
  </si>
  <si>
    <t>A-Z Perfect Cleaning s.r.o.</t>
  </si>
  <si>
    <t>oprava vchodových dveří</t>
  </si>
  <si>
    <t>pravidelná údržba vchodových dveří</t>
  </si>
  <si>
    <t>Ludvík Remiš</t>
  </si>
  <si>
    <t>KONE a.s.</t>
  </si>
  <si>
    <t>KONE, a.s.</t>
  </si>
  <si>
    <t>Ing. Prekopová Pavlína</t>
  </si>
  <si>
    <t>pojistné plnění</t>
  </si>
  <si>
    <t>19190065</t>
  </si>
  <si>
    <t>oprava skleněné výplně vchodových dveří</t>
  </si>
  <si>
    <t>20190292</t>
  </si>
  <si>
    <t>19190066</t>
  </si>
  <si>
    <t>výměna tabla domácího telefonu</t>
  </si>
  <si>
    <t>58/19</t>
  </si>
  <si>
    <t>20190123</t>
  </si>
  <si>
    <t>SZ-Czech spol. s r.o.</t>
  </si>
  <si>
    <t>Hl. m. Praha</t>
  </si>
  <si>
    <t>seřízení oken a dveří</t>
  </si>
  <si>
    <t>revize hromosvodu</t>
  </si>
  <si>
    <t>oprava předzahrádek</t>
  </si>
  <si>
    <t>výměna pohonu kabinových dveří - 2539</t>
  </si>
  <si>
    <t>pravidelná prohlídka a tlaková zkouška hadic hydrantů včetně odstranění závad</t>
  </si>
  <si>
    <t>posouzení technického stavu motorové jednotky pro ovládání dveří výtahu</t>
  </si>
  <si>
    <t>oprava přívodu vody z kolektoru</t>
  </si>
  <si>
    <t>vyúčtování 2019 - zaokrouhlení</t>
  </si>
  <si>
    <t>20190127</t>
  </si>
  <si>
    <t>voda 1.1.-30.4.2020</t>
  </si>
  <si>
    <t>2142003801</t>
  </si>
  <si>
    <t>voda 1.5.-31.12.2020</t>
  </si>
  <si>
    <t>srážková voda 1.1.-30.4.2020</t>
  </si>
  <si>
    <t>srážková voda 1.5.-31.12.2020</t>
  </si>
  <si>
    <t xml:space="preserve">DPH </t>
  </si>
  <si>
    <t>20190128</t>
  </si>
  <si>
    <t>2142015972</t>
  </si>
  <si>
    <t>vyúčtování 2019+ - zaokrouhlení</t>
  </si>
  <si>
    <t>20190008</t>
  </si>
  <si>
    <t>20190014</t>
  </si>
  <si>
    <t>20190026</t>
  </si>
  <si>
    <t>20190035</t>
  </si>
  <si>
    <t>20190042</t>
  </si>
  <si>
    <t>20190049</t>
  </si>
  <si>
    <t>20190059</t>
  </si>
  <si>
    <t>20190075</t>
  </si>
  <si>
    <t>20190080</t>
  </si>
  <si>
    <t>20190098</t>
  </si>
  <si>
    <t>20190106</t>
  </si>
  <si>
    <t>20190117</t>
  </si>
  <si>
    <t>21190005</t>
  </si>
  <si>
    <t>Vyúčtování skutečných nákladů tepla za rok 2020</t>
  </si>
  <si>
    <t>20190062</t>
  </si>
  <si>
    <t>elektřina 1.1.-11.8.2020</t>
  </si>
  <si>
    <t>20190118</t>
  </si>
  <si>
    <t>elektřina 12.8.-31.12.2020</t>
  </si>
  <si>
    <t>20190063</t>
  </si>
  <si>
    <t>20190119</t>
  </si>
  <si>
    <t>20190067</t>
  </si>
  <si>
    <t>20190066</t>
  </si>
  <si>
    <t>20190122</t>
  </si>
  <si>
    <t>20190064</t>
  </si>
  <si>
    <t>20190120</t>
  </si>
  <si>
    <t>20190065</t>
  </si>
  <si>
    <t>20190121</t>
  </si>
  <si>
    <t>úklid domu 01/2020 - 2537</t>
  </si>
  <si>
    <t>úklid domu 01/2020 - 2538</t>
  </si>
  <si>
    <t>úklid domu 01/2020 - 2539</t>
  </si>
  <si>
    <t>úklid domu 02/2020 - 2537</t>
  </si>
  <si>
    <t>úklid domu 02/2020 - 2538</t>
  </si>
  <si>
    <t>úklid domu 02/2020 - 2539</t>
  </si>
  <si>
    <t>úklid domu 03/2020 - 2537 + dezinfekce vnitřních prostor</t>
  </si>
  <si>
    <t>úklid domu 03/2020 - 2538 + dezinfekce vnitřních prostor</t>
  </si>
  <si>
    <t>úklid domu 03/2020 - 2539 + dezinfekce vnitřních prostor</t>
  </si>
  <si>
    <t>Eva Jirsová</t>
  </si>
  <si>
    <t xml:space="preserve">dezinfekce </t>
  </si>
  <si>
    <t>úklid domu 04/2020 - 2537 + dezinfekce vnitřních prostor</t>
  </si>
  <si>
    <t>úklid domu 04/2020 - 2538 + dezinfekce vnitřních prostor</t>
  </si>
  <si>
    <t>úklid domu 04/2020 - 2539 + dezinfekce vnitřních prostor</t>
  </si>
  <si>
    <t>úklid domu 05/2020 - 2537 + dezinfekce vnitřních prostor</t>
  </si>
  <si>
    <t>úklid domu 05/2020 - 2538 + dezinfekce vnitřních prostor</t>
  </si>
  <si>
    <t>úklid domu 05/2020 - 2539 + dezinfekce vnitřních prostor</t>
  </si>
  <si>
    <t xml:space="preserve">úklid domu 06/2020 - 2537 </t>
  </si>
  <si>
    <t>úklid domu 06/2020 - 2538</t>
  </si>
  <si>
    <t>úklid domu 06/2020 - 2539</t>
  </si>
  <si>
    <t xml:space="preserve">úklid domu 07/2020 - 2537 </t>
  </si>
  <si>
    <t>úklid domu 07/2020 - 2538</t>
  </si>
  <si>
    <t>úklid domu 07/2020 - 2539</t>
  </si>
  <si>
    <t xml:space="preserve">úklid domu 08/2020 - 2537 </t>
  </si>
  <si>
    <t>úklid domu 08/2020 - 2538</t>
  </si>
  <si>
    <t>úklid domu 08/2020 - 2539</t>
  </si>
  <si>
    <t xml:space="preserve">úklid domu 09/2020 - 2537 </t>
  </si>
  <si>
    <t>úklid domu 09/2020 - 2538</t>
  </si>
  <si>
    <t>úklid domu 09/2020 - 2539</t>
  </si>
  <si>
    <t xml:space="preserve">úklid domu 10/2020 - 2537 </t>
  </si>
  <si>
    <t>úklid domu 10/2020 - 2538</t>
  </si>
  <si>
    <t>úklid domu 10/2020 - 2539</t>
  </si>
  <si>
    <t xml:space="preserve">úklid domu 11/2020 - 2537 </t>
  </si>
  <si>
    <t>úklid domu 11/2020 - 2538</t>
  </si>
  <si>
    <t>úklid domu 11/2020 - 2539</t>
  </si>
  <si>
    <t xml:space="preserve">úklid domu 12/2020 - 2537 </t>
  </si>
  <si>
    <t>úklid domu 12/2020 - 2538</t>
  </si>
  <si>
    <t>úklid domu 12/2020 - 2539</t>
  </si>
  <si>
    <t>úklid venkovní 01/2020 - 2537</t>
  </si>
  <si>
    <t>úklid venkovní 01/2020 - 2538</t>
  </si>
  <si>
    <t>úklid venkovní 01/2020 - 2539</t>
  </si>
  <si>
    <t>úklid venkovní 02/2020 - 2537</t>
  </si>
  <si>
    <t>úklid venkovní 02/2020 - 2538</t>
  </si>
  <si>
    <t>úklid venkovní 02/2020 - 2539</t>
  </si>
  <si>
    <t>úklid venkovní 03/2020 - 2537 + čištění stříšek u vchodů, čištění venkovních zábradlí</t>
  </si>
  <si>
    <t>úklid venkovní 03/2020 - 2538 + čištění stříšek u vchodů, čištění venkovních zábradlí</t>
  </si>
  <si>
    <t>úklid venkovní 03/2020 - 2539 + čištění stříšek u vchodů, čištění venkovních zábradlí</t>
  </si>
  <si>
    <t>úklid venkovní 04/2020 - 2537</t>
  </si>
  <si>
    <t>úklid venkovní 04/2020 - 2538</t>
  </si>
  <si>
    <t>úklid venkovní 04/2020 - 2539</t>
  </si>
  <si>
    <t>úklid venkovní 05/2020 - 2537</t>
  </si>
  <si>
    <t>úklid venkovní 05/2020 - 2538</t>
  </si>
  <si>
    <t>úklid venkovní 05/2020 - 2539</t>
  </si>
  <si>
    <t>úklid venkovní 06/2020 - 2537</t>
  </si>
  <si>
    <t>úklid venkovní 06/2020 - 2538</t>
  </si>
  <si>
    <t>úklid venkovní 06/2020 - 2539</t>
  </si>
  <si>
    <t>úklid venkovní 07/2020 - 2537</t>
  </si>
  <si>
    <t>úklid venkovní 07/2020 - 2538</t>
  </si>
  <si>
    <t>úklid venkovní 07/2020 - 2539</t>
  </si>
  <si>
    <t>úklid venkovní 08/2020 - 2537</t>
  </si>
  <si>
    <t>úklid venkovní 08/2020 - 2538</t>
  </si>
  <si>
    <t>úklid venkovní 08/2020 - 2539</t>
  </si>
  <si>
    <t>úklid venkovní 09/2020 - 2537</t>
  </si>
  <si>
    <t>úklid venkovní 09/2020 - 2538</t>
  </si>
  <si>
    <t>úklid venkovní 09/2020 - 2539</t>
  </si>
  <si>
    <t>úklid venkovní 10/2020 - 2537</t>
  </si>
  <si>
    <t>úklid venkovní 10/2020 - 2538</t>
  </si>
  <si>
    <t>úklid venkovní 10/2020 - 2539</t>
  </si>
  <si>
    <t>úklid venkovní 11/2020 - 2537</t>
  </si>
  <si>
    <t>úklid venkovní 11/2020 - 2538</t>
  </si>
  <si>
    <t>úklid venkovní 11/2020 - 2539</t>
  </si>
  <si>
    <t>úklid venkovní 12/2020 - 2537</t>
  </si>
  <si>
    <t>úklid venkovní 12/2020 - 2538</t>
  </si>
  <si>
    <t>úklid venkovní 12/2020 - 2539</t>
  </si>
  <si>
    <t>zametení přístupové cesty ke garážím</t>
  </si>
  <si>
    <t>strojové čištění garáže, zametení prostor garáže, úklid vjezdu do garáže</t>
  </si>
  <si>
    <t>zametení vjezdu do garáže</t>
  </si>
  <si>
    <t>úklid garáže - mokrou cestou</t>
  </si>
  <si>
    <t>úklid garáže - zametení hrubých nečistot</t>
  </si>
  <si>
    <t>komunální odpad 01-06/2020</t>
  </si>
  <si>
    <t>komunální odpad 07-12/2020</t>
  </si>
  <si>
    <t>20190003</t>
  </si>
  <si>
    <t>vodoinstalační práce - výměna ventilu, vypouštění a napouštění systémů, zaslepené potrubí</t>
  </si>
  <si>
    <t>havarijní dispečink 2020</t>
  </si>
  <si>
    <t>5x výměna žárovek v SČD, 10 ks LED žárovka</t>
  </si>
  <si>
    <t>Petr Nekvasil</t>
  </si>
  <si>
    <t>elektromontážní dodávku svítidel</t>
  </si>
  <si>
    <t>20190018</t>
  </si>
  <si>
    <t>oprava - výměna napájecího zdroje zvonků</t>
  </si>
  <si>
    <t>29/20</t>
  </si>
  <si>
    <t>topenářské práce_šoupě, šroubení, kulový kohout_vypouštění a napouštění systému, demontáž a montáž</t>
  </si>
  <si>
    <t>20190029</t>
  </si>
  <si>
    <t>oprava - výměna osvětlení</t>
  </si>
  <si>
    <t>43/20</t>
  </si>
  <si>
    <t>20190045</t>
  </si>
  <si>
    <t>20190054</t>
  </si>
  <si>
    <t>malování zdí u výtahů - 06/2020</t>
  </si>
  <si>
    <t>20190056</t>
  </si>
  <si>
    <t>řešení havárie a uzavření přívodu domu 10.7.2020</t>
  </si>
  <si>
    <t>20190060</t>
  </si>
  <si>
    <t>20190061</t>
  </si>
  <si>
    <t>servis společného osvětlení domu</t>
  </si>
  <si>
    <t>74/20</t>
  </si>
  <si>
    <t>20710005</t>
  </si>
  <si>
    <t>ČSOB Pojišťovna, a.s.</t>
  </si>
  <si>
    <t>spoluúčast pojistné plnění - vytopení BJ 464</t>
  </si>
  <si>
    <t>20190082</t>
  </si>
  <si>
    <t>přeinstalování zářivkového osvětlení za LED osvětlení v průchodu domu</t>
  </si>
  <si>
    <t>90/20</t>
  </si>
  <si>
    <t>20190083</t>
  </si>
  <si>
    <t>výměna kulového ventilu na rozdělovači topení</t>
  </si>
  <si>
    <t>20190088</t>
  </si>
  <si>
    <t>výměna baterií - v kování KABA - C-lever u vchodu č. 12</t>
  </si>
  <si>
    <t>20190094</t>
  </si>
  <si>
    <t>el. měření motoru + zpráva</t>
  </si>
  <si>
    <t>110/20</t>
  </si>
  <si>
    <t>20190100</t>
  </si>
  <si>
    <t>20190109</t>
  </si>
  <si>
    <t>výjezd na kontrolu ventilů na rozdělovači, výměna možná po vypuštění celého systému</t>
  </si>
  <si>
    <t>20190111</t>
  </si>
  <si>
    <t>udržovací práce na balkonech - byt 432 a 523</t>
  </si>
  <si>
    <t>20190124</t>
  </si>
  <si>
    <t>oprava kulového kohoutu na rozdělovači</t>
  </si>
  <si>
    <t>20190125</t>
  </si>
  <si>
    <t>zavření a otevření vodovodní přípojky</t>
  </si>
  <si>
    <t>20190011</t>
  </si>
  <si>
    <t>ořezání větví a odvoz 02/2020</t>
  </si>
  <si>
    <t>kropení zeleně v okolí domu</t>
  </si>
  <si>
    <t>20190030</t>
  </si>
  <si>
    <t>údržba zeleně 04/2020</t>
  </si>
  <si>
    <t>20190040</t>
  </si>
  <si>
    <t>zpevnění svahu, postřik plevele, výsev trávy a zemina</t>
  </si>
  <si>
    <t>sekání trávy, střih živého plotu, údržba zeleně, likvidace odpadu</t>
  </si>
  <si>
    <t>sekání trávy 07/2020, postřik proti plevelu 07/2020</t>
  </si>
  <si>
    <t>stříh plotu a postřk proti plevelu</t>
  </si>
  <si>
    <t>sekání trávy</t>
  </si>
  <si>
    <t>shrabání listí</t>
  </si>
  <si>
    <t>servis výtahů 01-03/2020 - 2537 - prohlídka</t>
  </si>
  <si>
    <t>servis výtahů 01-03/2020 - 2537 - údržba</t>
  </si>
  <si>
    <t>servis výtahů 01-03/2020 - 2538 - prohlídka</t>
  </si>
  <si>
    <t>servis výtahů 01-03/2020 - 2538 - údržba</t>
  </si>
  <si>
    <t>servis výtahů 01-03/2020 - 2539 - prohlídka</t>
  </si>
  <si>
    <t>servis výtahů 01-03/2020 - 2539 - údržba</t>
  </si>
  <si>
    <t>oprava výtahu 2537 - oprava a kontrola funkce_12.3.2020</t>
  </si>
  <si>
    <t>oprava výtahu 2537 - oprava a kontrola funkce_11.3.2020</t>
  </si>
  <si>
    <t>oprava výtahu 2539 - oprava a kontrola funkce_29.3.2020</t>
  </si>
  <si>
    <t>servis výtahů 04-06/2020 - 2537 - prohlídka</t>
  </si>
  <si>
    <t>servis výtahů 04-06/2020 - 2537 - údržba</t>
  </si>
  <si>
    <t>servis výtahů 04-06/2020 - 2538 - prohlídka</t>
  </si>
  <si>
    <t>servis výtahů 04-06/2020 - 2538 - údržba</t>
  </si>
  <si>
    <t>servis výtahů 04-06/2020 - 2539 - prohlídka</t>
  </si>
  <si>
    <t>servis výtahů 04-06/2020 - 2539 - údržba</t>
  </si>
  <si>
    <t>oprava výtahu 2537 - špatný dveřní kabinový kontakt očištěn_15.5.2020</t>
  </si>
  <si>
    <t>servis výtahů 07-09/2020 - 2537 - prohlídka</t>
  </si>
  <si>
    <t>servis výtahů 07-09/2020 - 2537 - údržba</t>
  </si>
  <si>
    <t>servis výtahů 07-09/2020 - 2538 - prohlídka</t>
  </si>
  <si>
    <t>servis výtahů 07-09/2020 - 2538 - údržba</t>
  </si>
  <si>
    <t>servis výtahů 07-09/2020 - 2539 - prohlídka</t>
  </si>
  <si>
    <t>servis výtahů 07-09/2020 - 2539 - údržba</t>
  </si>
  <si>
    <t>oprava výtahu 2538 - oprava kab.dveří a výměna pojistek 2 ks na dveře</t>
  </si>
  <si>
    <t>oprava výtahu 2538 - 22.5.2020_vyproštění jedné osoby výtah odstaven z důvodu vadného stykače. Výměna stykače 2 ks</t>
  </si>
  <si>
    <t>oprava výtahu 2539 - 14.6.2020_chyba koncového spínače otevření dveří, seřízení KD a kontrola funkce</t>
  </si>
  <si>
    <t>servis výtahů 10-12/2020 - 2537 - prohlídka</t>
  </si>
  <si>
    <t>servis výtahů 10-12/2020 - 2537 - údržba</t>
  </si>
  <si>
    <t>servis výtahů 10-12/2020 - 2538 - prohlídka</t>
  </si>
  <si>
    <t>servis výtahů 10-12/2020 - 2538 - údržba</t>
  </si>
  <si>
    <t>servis výtahů 10-12/2020 - 2539 - prohlídka</t>
  </si>
  <si>
    <t>servis výtahů 10-12/2020 - 2539 - údržba</t>
  </si>
  <si>
    <t>oprava výtahu 2538 - 25.9.2020_výměna pojistek 2 ks opakovaná závada</t>
  </si>
  <si>
    <t>oprava výtahu 2538 - 25.9.2020_výměna pojistek F1L a F2L fázi dveřního motoru, úprava vačkového spínače, otevření dveří a kontrola chodu motoru</t>
  </si>
  <si>
    <t>oprava výtahu 2538 - 2.10.2020_kontrola funkce - diagnostika opakovaných závad</t>
  </si>
  <si>
    <t>OOD_oprava výtahu 2538 - 25.9.2020_výměna pojistek 2 ks opakovaná závada</t>
  </si>
  <si>
    <t>ODD_oprava výtahu 2538 - 25.9.2020_výměna pojistek F1L a F2L fázi dveřního motoru, úprava vačkového spínače, otevření dveří a kontrola chodu motoru</t>
  </si>
  <si>
    <t>ODD_oprava výtahu 2538 - 2.10.2020_kontrola funkce - diagnostika opakovaných závad</t>
  </si>
  <si>
    <t>oprava výtahu 2538 - 5.10.2020_hledání závady, nutná výměna motoru</t>
  </si>
  <si>
    <t>ODD_oprava výtahu 2538 - 5.10.2020_hledání závady, nutná výměna motoru</t>
  </si>
  <si>
    <t>správa byt 01/2020</t>
  </si>
  <si>
    <t>správa byt 02/2020</t>
  </si>
  <si>
    <t>správa byt 03/2020</t>
  </si>
  <si>
    <t>správa byt 04/2020</t>
  </si>
  <si>
    <t>správa byt 05/2020</t>
  </si>
  <si>
    <t>správa byt 06/2020</t>
  </si>
  <si>
    <t>správa byt 07/2020</t>
  </si>
  <si>
    <t>správa byt 08/2020</t>
  </si>
  <si>
    <t>správa byt 09/2020</t>
  </si>
  <si>
    <t>správa byt 10/2020</t>
  </si>
  <si>
    <t>správa byt 11/2020</t>
  </si>
  <si>
    <t>správa byt 12/2020</t>
  </si>
  <si>
    <t>správa GS 01/2020</t>
  </si>
  <si>
    <t>správa GS 02/2020</t>
  </si>
  <si>
    <t>správa GS 03/2020</t>
  </si>
  <si>
    <t>správa GS 04/2020</t>
  </si>
  <si>
    <t>správa GS 05/2020</t>
  </si>
  <si>
    <t>správa GS 06/2020</t>
  </si>
  <si>
    <t>správa GS 07/2020</t>
  </si>
  <si>
    <t>správa GS 08/2020</t>
  </si>
  <si>
    <t>správa GS 09/2020</t>
  </si>
  <si>
    <t>správa GS 10/2020</t>
  </si>
  <si>
    <t>správa GS 11/2020</t>
  </si>
  <si>
    <t>správa GS 12/2020</t>
  </si>
  <si>
    <t>pojistné 7.1.2020-7.1.2021</t>
  </si>
  <si>
    <t>bankovní poplatky 2020</t>
  </si>
  <si>
    <t>hosting + prodloužení registrace doménového jména kodymova.cz do 21.5.2021</t>
  </si>
  <si>
    <t>Ladislav Drha, advokátní kancelář s.r.o.</t>
  </si>
  <si>
    <t>právní služby</t>
  </si>
  <si>
    <t>Mgr. Roman Pfeifer</t>
  </si>
  <si>
    <t>poskytnuté právní služby</t>
  </si>
  <si>
    <t>poštovné - výzva k odstranění věcí z garáže</t>
  </si>
  <si>
    <t>rozúčtování vody a tepla za rok 2019</t>
  </si>
  <si>
    <t>klička RHW</t>
  </si>
  <si>
    <t>Jirsová Eva</t>
  </si>
  <si>
    <t>Zákaz venčení psů</t>
  </si>
  <si>
    <t>poštovné 05-06/2020</t>
  </si>
  <si>
    <t>poštovné - vyúčtování 2019 + upomínky</t>
  </si>
  <si>
    <t>zajištění uložení UZ za rok 2019 na rejstříkový soud</t>
  </si>
  <si>
    <t>dezinfekce</t>
  </si>
  <si>
    <t>aktualizace WEB 2020 - výbor, kontrolní komise, Covid-19, T-Mobile, okna, pozvánka na shromáždění, shromáždění, zápis, kontakty, T-Mobile</t>
  </si>
  <si>
    <t>20190115</t>
  </si>
  <si>
    <t xml:space="preserve">poštovné - upomínky Grinchenko Victor Ing. </t>
  </si>
  <si>
    <t>20190130</t>
  </si>
  <si>
    <t>Vydavatelství Výbor s.r.o.</t>
  </si>
  <si>
    <t>předplatné tištěného magazínu Výbor</t>
  </si>
  <si>
    <t>Ing. Svobodná Markéta</t>
  </si>
  <si>
    <t>2 ks čipů do domu Kodymova 2538/10, Praha 5</t>
  </si>
  <si>
    <t>20320002</t>
  </si>
  <si>
    <t>1 ks čipů do domu Kodymova 2538/10, Praha 5</t>
  </si>
  <si>
    <t>20320003</t>
  </si>
  <si>
    <t>1 ks klíč do kočárkárny S5 Kodymova 2538/10, Praha 5</t>
  </si>
  <si>
    <t>20320005</t>
  </si>
  <si>
    <t>Kratochvíl David</t>
  </si>
  <si>
    <t>1 ks čipu do domu Kodymova 2539/8, Praha 5</t>
  </si>
  <si>
    <t>20320006</t>
  </si>
  <si>
    <t>zpracování DPP 02/2020</t>
  </si>
  <si>
    <t>zpracování DPP 03/2020</t>
  </si>
  <si>
    <t>zpracování DPP 04/2020</t>
  </si>
  <si>
    <t>zpracování DPP 05/2020</t>
  </si>
  <si>
    <t>zpracování DPP 06/2020</t>
  </si>
  <si>
    <t>zpracování DPP 07/2020</t>
  </si>
  <si>
    <t>zpracování DPP 08/2020</t>
  </si>
  <si>
    <t>zpracování DPP 09/2020</t>
  </si>
  <si>
    <t>zpracování DPP 10/2020</t>
  </si>
  <si>
    <t>zpracování DPP 11/2020</t>
  </si>
  <si>
    <t>zpracování DPP 12/2020</t>
  </si>
  <si>
    <t>DPP 2020</t>
  </si>
  <si>
    <t>Zákonné pojištění odpovědnosti zaměstnavatele - 1. Q. 2020</t>
  </si>
  <si>
    <t>Zákonné pojištění odpovědnosti zaměstnavatele - 2. Q. 2020</t>
  </si>
  <si>
    <t>Zákonné pojištění odpovědnosti zaměstnavatele - 3. Q. 2020</t>
  </si>
  <si>
    <t>Zákonné pojištění odpovědnosti zaměstnavatele - 4. Q. 2020</t>
  </si>
  <si>
    <t>20190031</t>
  </si>
  <si>
    <t>Okenní servis s.r.o.</t>
  </si>
  <si>
    <t>2020033</t>
  </si>
  <si>
    <t>20710003</t>
  </si>
  <si>
    <t>Báča</t>
  </si>
  <si>
    <t>přetěsnění oken+doprava</t>
  </si>
  <si>
    <t>1</t>
  </si>
  <si>
    <t>20190053</t>
  </si>
  <si>
    <t>68/20</t>
  </si>
  <si>
    <t>20190072</t>
  </si>
  <si>
    <t>odstranění závad po odborné prohlídce_2537/12</t>
  </si>
  <si>
    <t>95057740</t>
  </si>
  <si>
    <t>20190073</t>
  </si>
  <si>
    <t>odstranění závad po odborné prohlídce_2538/10</t>
  </si>
  <si>
    <t>95057739</t>
  </si>
  <si>
    <t>20190074</t>
  </si>
  <si>
    <t>odstranění závad po odborné prohlídce_2539/8</t>
  </si>
  <si>
    <t>95057862</t>
  </si>
  <si>
    <t>20190076</t>
  </si>
  <si>
    <t>2020075</t>
  </si>
  <si>
    <t>20190092</t>
  </si>
  <si>
    <t>1/10/2020</t>
  </si>
  <si>
    <t>20190093</t>
  </si>
  <si>
    <t>14198517</t>
  </si>
  <si>
    <t>20190099</t>
  </si>
  <si>
    <t>20190102</t>
  </si>
  <si>
    <t>Ing. Jiří Táborský</t>
  </si>
  <si>
    <t>20190108</t>
  </si>
  <si>
    <t>123/2020</t>
  </si>
  <si>
    <t>20190126</t>
  </si>
  <si>
    <t>20010548</t>
  </si>
  <si>
    <t>20190110</t>
  </si>
  <si>
    <t>95060686</t>
  </si>
  <si>
    <t>REKLAMACE - plánované opravy výtahů</t>
  </si>
  <si>
    <t>Nepřeúčtováno vlastníkům - Pozemek - Parcelní číslo: 3124/31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</si>
</sst>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Kč&quot;;[Red]\-#,##0.00\ &quot;Kč&quot;"/>
    <numFmt numFmtId="164" formatCode="#,##0.00\ &quot;Kč&quot;"/>
    <numFmt numFmtId="165" formatCode="#,##0_ ;[Red]\-#,##0\ "/>
    <numFmt numFmtId="166" formatCode="#,##0.000"/>
    <numFmt numFmtId="167" formatCode="#,##0.00_ ;[Red]\-#,##0.00\ "/>
    <numFmt numFmtId="168" formatCode="0.000_ ;[Red]\-0.000\ "/>
    <numFmt numFmtId="169" formatCode="#,##0.000_ ;[Red]\-#,##0.000\ "/>
    <numFmt numFmtId="170" formatCode="[$-405]mmmm\ yy;@"/>
    <numFmt numFmtId="171" formatCode="#,##0.0000"/>
    <numFmt numFmtId="172" formatCode="#,##0.000\ &quot;Kč&quot;;[Red]\-#,##0.000\ &quot;Kč&quot;"/>
  </numFmts>
  <fonts count="4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 CE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 tint="-0.24994659260841701"/>
      </left>
      <right style="dashDotDot">
        <color theme="0" tint="-0.14996795556505021"/>
      </right>
      <top/>
      <bottom/>
      <diagonal/>
    </border>
    <border>
      <left style="dashDotDot">
        <color theme="0" tint="-0.1499679555650502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ashDotDot">
        <color theme="0" tint="-0.14996795556505021"/>
      </right>
      <top style="thin">
        <color indexed="64"/>
      </top>
      <bottom style="thin">
        <color indexed="64"/>
      </bottom>
      <diagonal/>
    </border>
    <border>
      <left style="dashDotDot">
        <color theme="0" tint="-0.14996795556505021"/>
      </left>
      <right style="dotted">
        <color theme="0" tint="-0.24994659260841701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/>
    <xf numFmtId="0" fontId="25" fillId="0" borderId="0"/>
    <xf numFmtId="0" fontId="6" fillId="0" borderId="0"/>
    <xf numFmtId="9" fontId="25" fillId="0" borderId="0" applyFont="0" applyFill="0" applyBorder="0" applyAlignment="0" applyProtection="0"/>
    <xf numFmtId="0" fontId="26" fillId="0" borderId="0"/>
    <xf numFmtId="0" fontId="5" fillId="0" borderId="0"/>
    <xf numFmtId="0" fontId="24" fillId="0" borderId="0"/>
    <xf numFmtId="0" fontId="25" fillId="0" borderId="0"/>
    <xf numFmtId="0" fontId="24" fillId="0" borderId="0"/>
    <xf numFmtId="0" fontId="4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" fillId="0" borderId="0"/>
    <xf numFmtId="0" fontId="27" fillId="0" borderId="0"/>
    <xf numFmtId="0" fontId="25" fillId="0" borderId="0"/>
    <xf numFmtId="0" fontId="1" fillId="0" borderId="0"/>
    <xf numFmtId="0" fontId="1" fillId="0" borderId="0"/>
    <xf numFmtId="0" fontId="24" fillId="0" borderId="0"/>
    <xf numFmtId="0" fontId="24" fillId="0" borderId="0"/>
  </cellStyleXfs>
  <cellXfs count="241">
    <xf numFmtId="0" fontId="24" fillId="0" borderId="0" xfId="0" applyFont="1"/>
    <xf numFmtId="8" fontId="32" fillId="0" borderId="11" xfId="0" applyNumberFormat="1" applyFont="1" applyBorder="1" applyAlignment="1">
      <alignment horizontal="center"/>
    </xf>
    <xf numFmtId="0" fontId="33" fillId="0" borderId="0" xfId="0" applyFont="1" applyAlignment="1">
      <alignment horizontal="left"/>
    </xf>
    <xf numFmtId="0" fontId="30" fillId="33" borderId="0" xfId="0" applyFont="1" applyFill="1"/>
    <xf numFmtId="0" fontId="32" fillId="0" borderId="0" xfId="0" applyFont="1"/>
    <xf numFmtId="0" fontId="33" fillId="0" borderId="0" xfId="0" applyFont="1"/>
    <xf numFmtId="3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164" fontId="32" fillId="0" borderId="0" xfId="0" applyNumberFormat="1" applyFont="1"/>
    <xf numFmtId="0" fontId="33" fillId="0" borderId="0" xfId="0" applyFont="1" applyAlignment="1">
      <alignment horizontal="center" wrapText="1"/>
    </xf>
    <xf numFmtId="49" fontId="33" fillId="0" borderId="0" xfId="0" applyNumberFormat="1" applyFont="1" applyAlignment="1">
      <alignment horizontal="left"/>
    </xf>
    <xf numFmtId="164" fontId="33" fillId="0" borderId="0" xfId="0" applyNumberFormat="1" applyFont="1" applyAlignment="1">
      <alignment horizontal="center"/>
    </xf>
    <xf numFmtId="164" fontId="33" fillId="0" borderId="0" xfId="0" applyNumberFormat="1" applyFont="1"/>
    <xf numFmtId="0" fontId="33" fillId="0" borderId="10" xfId="0" applyFont="1" applyBorder="1" applyAlignment="1">
      <alignment horizontal="left"/>
    </xf>
    <xf numFmtId="0" fontId="33" fillId="0" borderId="10" xfId="0" applyFont="1" applyBorder="1"/>
    <xf numFmtId="0" fontId="33" fillId="0" borderId="10" xfId="0" applyFont="1" applyBorder="1" applyAlignment="1">
      <alignment horizontal="center"/>
    </xf>
    <xf numFmtId="164" fontId="32" fillId="0" borderId="10" xfId="0" applyNumberFormat="1" applyFont="1" applyBorder="1" applyAlignment="1">
      <alignment horizontal="center"/>
    </xf>
    <xf numFmtId="4" fontId="32" fillId="0" borderId="10" xfId="0" applyNumberFormat="1" applyFont="1" applyBorder="1" applyAlignment="1">
      <alignment horizontal="center"/>
    </xf>
    <xf numFmtId="8" fontId="32" fillId="0" borderId="10" xfId="0" applyNumberFormat="1" applyFont="1" applyBorder="1" applyAlignment="1">
      <alignment horizontal="center"/>
    </xf>
    <xf numFmtId="0" fontId="33" fillId="0" borderId="12" xfId="0" applyFont="1" applyBorder="1"/>
    <xf numFmtId="0" fontId="33" fillId="0" borderId="12" xfId="0" applyFont="1" applyBorder="1" applyAlignment="1">
      <alignment horizontal="center"/>
    </xf>
    <xf numFmtId="164" fontId="32" fillId="0" borderId="12" xfId="0" applyNumberFormat="1" applyFont="1" applyBorder="1" applyAlignment="1">
      <alignment horizontal="center"/>
    </xf>
    <xf numFmtId="49" fontId="33" fillId="0" borderId="10" xfId="0" applyNumberFormat="1" applyFont="1" applyBorder="1" applyAlignment="1">
      <alignment horizontal="left"/>
    </xf>
    <xf numFmtId="0" fontId="32" fillId="0" borderId="10" xfId="0" applyFont="1" applyBorder="1"/>
    <xf numFmtId="49" fontId="32" fillId="0" borderId="10" xfId="0" applyNumberFormat="1" applyFont="1" applyBorder="1" applyAlignment="1">
      <alignment horizontal="right"/>
    </xf>
    <xf numFmtId="8" fontId="31" fillId="33" borderId="10" xfId="0" applyNumberFormat="1" applyFont="1" applyFill="1" applyBorder="1"/>
    <xf numFmtId="2" fontId="33" fillId="0" borderId="10" xfId="0" applyNumberFormat="1" applyFont="1" applyBorder="1"/>
    <xf numFmtId="164" fontId="32" fillId="0" borderId="0" xfId="0" applyNumberFormat="1" applyFont="1" applyAlignment="1">
      <alignment horizontal="center"/>
    </xf>
    <xf numFmtId="165" fontId="32" fillId="0" borderId="0" xfId="0" applyNumberFormat="1" applyFont="1" applyAlignment="1">
      <alignment horizontal="center"/>
    </xf>
    <xf numFmtId="8" fontId="31" fillId="33" borderId="10" xfId="0" applyNumberFormat="1" applyFont="1" applyFill="1" applyBorder="1" applyAlignment="1">
      <alignment horizontal="right"/>
    </xf>
    <xf numFmtId="0" fontId="32" fillId="0" borderId="0" xfId="0" applyFont="1" applyAlignment="1">
      <alignment horizontal="left"/>
    </xf>
    <xf numFmtId="8" fontId="33" fillId="0" borderId="0" xfId="0" applyNumberFormat="1" applyFont="1" applyAlignment="1">
      <alignment horizontal="right"/>
    </xf>
    <xf numFmtId="167" fontId="32" fillId="0" borderId="10" xfId="0" applyNumberFormat="1" applyFont="1" applyBorder="1" applyAlignment="1">
      <alignment horizontal="left"/>
    </xf>
    <xf numFmtId="167" fontId="32" fillId="0" borderId="10" xfId="0" applyNumberFormat="1" applyFont="1" applyBorder="1"/>
    <xf numFmtId="167" fontId="32" fillId="0" borderId="10" xfId="0" applyNumberFormat="1" applyFont="1" applyBorder="1" applyAlignment="1">
      <alignment horizontal="right"/>
    </xf>
    <xf numFmtId="8" fontId="32" fillId="0" borderId="10" xfId="0" applyNumberFormat="1" applyFont="1" applyBorder="1" applyAlignment="1">
      <alignment horizontal="right"/>
    </xf>
    <xf numFmtId="0" fontId="32" fillId="33" borderId="0" xfId="0" applyFont="1" applyFill="1" applyAlignment="1">
      <alignment horizontal="center"/>
    </xf>
    <xf numFmtId="49" fontId="33" fillId="0" borderId="11" xfId="0" applyNumberFormat="1" applyFont="1" applyBorder="1" applyAlignment="1">
      <alignment horizontal="left"/>
    </xf>
    <xf numFmtId="0" fontId="33" fillId="0" borderId="11" xfId="0" applyFont="1" applyBorder="1"/>
    <xf numFmtId="0" fontId="33" fillId="0" borderId="11" xfId="0" applyFont="1" applyBorder="1" applyAlignment="1">
      <alignment horizontal="center"/>
    </xf>
    <xf numFmtId="8" fontId="31" fillId="33" borderId="11" xfId="0" applyNumberFormat="1" applyFont="1" applyFill="1" applyBorder="1" applyAlignment="1">
      <alignment horizontal="center"/>
    </xf>
    <xf numFmtId="164" fontId="32" fillId="0" borderId="11" xfId="0" applyNumberFormat="1" applyFont="1" applyBorder="1" applyAlignment="1">
      <alignment horizontal="center"/>
    </xf>
    <xf numFmtId="3" fontId="32" fillId="0" borderId="11" xfId="0" applyNumberFormat="1" applyFont="1" applyBorder="1" applyAlignment="1">
      <alignment horizontal="center"/>
    </xf>
    <xf numFmtId="0" fontId="32" fillId="33" borderId="0" xfId="0" applyFont="1" applyFill="1"/>
    <xf numFmtId="49" fontId="33" fillId="0" borderId="12" xfId="0" applyNumberFormat="1" applyFont="1" applyBorder="1" applyAlignment="1">
      <alignment horizontal="left"/>
    </xf>
    <xf numFmtId="8" fontId="31" fillId="33" borderId="12" xfId="0" applyNumberFormat="1" applyFont="1" applyFill="1" applyBorder="1" applyAlignment="1">
      <alignment horizontal="center"/>
    </xf>
    <xf numFmtId="3" fontId="32" fillId="0" borderId="12" xfId="0" applyNumberFormat="1" applyFont="1" applyBorder="1" applyAlignment="1">
      <alignment horizontal="center"/>
    </xf>
    <xf numFmtId="0" fontId="34" fillId="0" borderId="0" xfId="0" applyFont="1"/>
    <xf numFmtId="166" fontId="33" fillId="0" borderId="10" xfId="0" applyNumberFormat="1" applyFont="1" applyBorder="1" applyAlignment="1">
      <alignment horizontal="center"/>
    </xf>
    <xf numFmtId="164" fontId="33" fillId="0" borderId="10" xfId="0" applyNumberFormat="1" applyFont="1" applyBorder="1" applyAlignment="1">
      <alignment horizontal="center"/>
    </xf>
    <xf numFmtId="164" fontId="31" fillId="0" borderId="10" xfId="0" applyNumberFormat="1" applyFont="1" applyBorder="1" applyAlignment="1">
      <alignment horizontal="center"/>
    </xf>
    <xf numFmtId="164" fontId="33" fillId="0" borderId="10" xfId="0" applyNumberFormat="1" applyFont="1" applyBorder="1"/>
    <xf numFmtId="0" fontId="34" fillId="0" borderId="10" xfId="0" applyFont="1" applyBorder="1"/>
    <xf numFmtId="8" fontId="31" fillId="33" borderId="10" xfId="0" applyNumberFormat="1" applyFont="1" applyFill="1" applyBorder="1" applyAlignment="1">
      <alignment horizontal="center"/>
    </xf>
    <xf numFmtId="3" fontId="32" fillId="0" borderId="10" xfId="0" applyNumberFormat="1" applyFont="1" applyBorder="1" applyAlignment="1">
      <alignment horizontal="center"/>
    </xf>
    <xf numFmtId="165" fontId="30" fillId="33" borderId="0" xfId="0" applyNumberFormat="1" applyFont="1" applyFill="1" applyAlignment="1">
      <alignment horizontal="center"/>
    </xf>
    <xf numFmtId="164" fontId="31" fillId="33" borderId="10" xfId="0" applyNumberFormat="1" applyFont="1" applyFill="1" applyBorder="1" applyAlignment="1">
      <alignment horizontal="right"/>
    </xf>
    <xf numFmtId="164" fontId="31" fillId="33" borderId="10" xfId="0" applyNumberFormat="1" applyFont="1" applyFill="1" applyBorder="1" applyAlignment="1">
      <alignment horizontal="center"/>
    </xf>
    <xf numFmtId="8" fontId="32" fillId="0" borderId="0" xfId="0" applyNumberFormat="1" applyFont="1"/>
    <xf numFmtId="8" fontId="33" fillId="0" borderId="10" xfId="0" applyNumberFormat="1" applyFont="1" applyBorder="1"/>
    <xf numFmtId="164" fontId="33" fillId="0" borderId="10" xfId="0" applyNumberFormat="1" applyFont="1" applyBorder="1" applyAlignment="1">
      <alignment horizontal="right"/>
    </xf>
    <xf numFmtId="49" fontId="35" fillId="0" borderId="0" xfId="0" applyNumberFormat="1" applyFont="1" applyAlignment="1">
      <alignment horizontal="left"/>
    </xf>
    <xf numFmtId="0" fontId="35" fillId="0" borderId="0" xfId="0" applyFont="1" applyAlignment="1">
      <alignment horizontal="left"/>
    </xf>
    <xf numFmtId="49" fontId="35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/>
    </xf>
    <xf numFmtId="164" fontId="35" fillId="0" borderId="0" xfId="0" applyNumberFormat="1" applyFont="1"/>
    <xf numFmtId="165" fontId="29" fillId="0" borderId="0" xfId="0" applyNumberFormat="1" applyFont="1" applyAlignment="1">
      <alignment horizontal="center"/>
    </xf>
    <xf numFmtId="0" fontId="28" fillId="33" borderId="10" xfId="0" applyFont="1" applyFill="1" applyBorder="1" applyAlignment="1">
      <alignment horizontal="left"/>
    </xf>
    <xf numFmtId="0" fontId="30" fillId="33" borderId="10" xfId="0" applyFont="1" applyFill="1" applyBorder="1"/>
    <xf numFmtId="0" fontId="28" fillId="33" borderId="10" xfId="0" applyFont="1" applyFill="1" applyBorder="1"/>
    <xf numFmtId="3" fontId="28" fillId="33" borderId="10" xfId="0" applyNumberFormat="1" applyFont="1" applyFill="1" applyBorder="1" applyAlignment="1">
      <alignment horizontal="center"/>
    </xf>
    <xf numFmtId="0" fontId="28" fillId="33" borderId="10" xfId="0" applyFont="1" applyFill="1" applyBorder="1" applyAlignment="1">
      <alignment horizontal="center"/>
    </xf>
    <xf numFmtId="164" fontId="30" fillId="33" borderId="10" xfId="0" applyNumberFormat="1" applyFont="1" applyFill="1" applyBorder="1" applyAlignment="1">
      <alignment horizontal="right"/>
    </xf>
    <xf numFmtId="0" fontId="29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164" fontId="31" fillId="33" borderId="10" xfId="49" applyNumberFormat="1" applyFont="1" applyFill="1" applyBorder="1" applyAlignment="1">
      <alignment horizontal="right"/>
    </xf>
    <xf numFmtId="0" fontId="29" fillId="0" borderId="0" xfId="49" applyFont="1" applyFill="1" applyAlignment="1">
      <alignment horizontal="left"/>
    </xf>
    <xf numFmtId="0" fontId="31" fillId="0" borderId="0" xfId="49" applyFont="1" applyFill="1"/>
    <xf numFmtId="0" fontId="29" fillId="0" borderId="0" xfId="49" applyFont="1" applyFill="1"/>
    <xf numFmtId="3" fontId="31" fillId="0" borderId="0" xfId="49" applyNumberFormat="1" applyFont="1" applyFill="1" applyAlignment="1">
      <alignment horizontal="center"/>
    </xf>
    <xf numFmtId="0" fontId="29" fillId="0" borderId="0" xfId="49" applyFont="1" applyFill="1" applyAlignment="1">
      <alignment horizontal="center"/>
    </xf>
    <xf numFmtId="0" fontId="29" fillId="0" borderId="0" xfId="49" applyFont="1" applyFill="1" applyAlignment="1">
      <alignment horizontal="center" wrapText="1"/>
    </xf>
    <xf numFmtId="8" fontId="29" fillId="0" borderId="0" xfId="49" applyNumberFormat="1" applyFont="1" applyFill="1" applyAlignment="1">
      <alignment horizontal="center"/>
    </xf>
    <xf numFmtId="4" fontId="29" fillId="0" borderId="0" xfId="48" applyNumberFormat="1" applyFont="1" applyFill="1" applyAlignment="1">
      <alignment horizontal="center"/>
    </xf>
    <xf numFmtId="8" fontId="29" fillId="0" borderId="0" xfId="48" applyNumberFormat="1" applyFont="1" applyFill="1" applyAlignment="1">
      <alignment horizontal="center"/>
    </xf>
    <xf numFmtId="8" fontId="29" fillId="0" borderId="0" xfId="48" applyNumberFormat="1" applyFont="1" applyFill="1" applyAlignment="1">
      <alignment horizontal="right"/>
    </xf>
    <xf numFmtId="49" fontId="29" fillId="0" borderId="0" xfId="49" applyNumberFormat="1" applyFont="1" applyFill="1" applyAlignment="1">
      <alignment horizontal="left"/>
    </xf>
    <xf numFmtId="164" fontId="29" fillId="0" borderId="0" xfId="49" applyNumberFormat="1" applyFont="1" applyFill="1" applyAlignment="1">
      <alignment horizontal="center"/>
    </xf>
    <xf numFmtId="164" fontId="29" fillId="0" borderId="0" xfId="49" applyNumberFormat="1" applyFont="1" applyFill="1"/>
    <xf numFmtId="0" fontId="29" fillId="0" borderId="11" xfId="49" applyFont="1" applyFill="1" applyBorder="1" applyAlignment="1">
      <alignment horizontal="left"/>
    </xf>
    <xf numFmtId="0" fontId="29" fillId="0" borderId="11" xfId="49" applyFont="1" applyFill="1" applyBorder="1"/>
    <xf numFmtId="0" fontId="29" fillId="0" borderId="11" xfId="49" applyFont="1" applyFill="1" applyBorder="1" applyAlignment="1">
      <alignment horizontal="center"/>
    </xf>
    <xf numFmtId="164" fontId="31" fillId="0" borderId="11" xfId="49" applyNumberFormat="1" applyFont="1" applyFill="1" applyBorder="1" applyAlignment="1">
      <alignment horizontal="center"/>
    </xf>
    <xf numFmtId="4" fontId="31" fillId="0" borderId="11" xfId="49" applyNumberFormat="1" applyFont="1" applyFill="1" applyBorder="1" applyAlignment="1">
      <alignment horizontal="center"/>
    </xf>
    <xf numFmtId="8" fontId="31" fillId="0" borderId="11" xfId="49" applyNumberFormat="1" applyFont="1" applyFill="1" applyBorder="1" applyAlignment="1">
      <alignment horizontal="center"/>
    </xf>
    <xf numFmtId="49" fontId="31" fillId="0" borderId="0" xfId="49" applyNumberFormat="1" applyFont="1" applyFill="1" applyAlignment="1">
      <alignment horizontal="right"/>
    </xf>
    <xf numFmtId="4" fontId="31" fillId="0" borderId="0" xfId="49" applyNumberFormat="1" applyFont="1" applyFill="1" applyAlignment="1">
      <alignment horizontal="center"/>
    </xf>
    <xf numFmtId="164" fontId="31" fillId="0" borderId="0" xfId="49" applyNumberFormat="1" applyFont="1" applyFill="1" applyAlignment="1">
      <alignment horizontal="center"/>
    </xf>
    <xf numFmtId="2" fontId="29" fillId="0" borderId="0" xfId="49" applyNumberFormat="1" applyFont="1" applyFill="1"/>
    <xf numFmtId="0" fontId="29" fillId="0" borderId="0" xfId="48" applyFont="1" applyFill="1"/>
    <xf numFmtId="8" fontId="31" fillId="0" borderId="0" xfId="49" applyNumberFormat="1" applyFont="1" applyFill="1" applyAlignment="1">
      <alignment horizontal="center"/>
    </xf>
    <xf numFmtId="166" fontId="31" fillId="0" borderId="11" xfId="49" applyNumberFormat="1" applyFont="1" applyFill="1" applyBorder="1" applyAlignment="1">
      <alignment horizontal="center"/>
    </xf>
    <xf numFmtId="8" fontId="29" fillId="0" borderId="11" xfId="49" applyNumberFormat="1" applyFont="1" applyFill="1" applyBorder="1" applyAlignment="1">
      <alignment horizontal="center"/>
    </xf>
    <xf numFmtId="171" fontId="31" fillId="0" borderId="0" xfId="49" applyNumberFormat="1" applyFont="1" applyFill="1" applyAlignment="1">
      <alignment horizontal="center"/>
    </xf>
    <xf numFmtId="169" fontId="29" fillId="0" borderId="0" xfId="49" applyNumberFormat="1" applyFont="1" applyFill="1"/>
    <xf numFmtId="8" fontId="29" fillId="0" borderId="0" xfId="49" applyNumberFormat="1" applyFont="1" applyFill="1" applyAlignment="1">
      <alignment horizontal="right"/>
    </xf>
    <xf numFmtId="8" fontId="29" fillId="0" borderId="0" xfId="49" applyNumberFormat="1" applyFont="1" applyFill="1"/>
    <xf numFmtId="164" fontId="33" fillId="0" borderId="0" xfId="49" applyNumberFormat="1" applyFont="1" applyFill="1"/>
    <xf numFmtId="164" fontId="29" fillId="0" borderId="0" xfId="49" applyNumberFormat="1" applyFont="1" applyFill="1" applyAlignment="1">
      <alignment horizontal="right"/>
    </xf>
    <xf numFmtId="4" fontId="29" fillId="0" borderId="0" xfId="49" applyNumberFormat="1" applyFont="1" applyFill="1" applyAlignment="1">
      <alignment horizontal="right"/>
    </xf>
    <xf numFmtId="0" fontId="33" fillId="0" borderId="0" xfId="49" applyFont="1" applyFill="1"/>
    <xf numFmtId="0" fontId="36" fillId="0" borderId="0" xfId="49" applyFont="1" applyFill="1"/>
    <xf numFmtId="0" fontId="29" fillId="0" borderId="0" xfId="49" applyFont="1" applyFill="1" applyAlignment="1">
      <alignment horizontal="left" indent="2"/>
    </xf>
    <xf numFmtId="172" fontId="32" fillId="0" borderId="10" xfId="0" applyNumberFormat="1" applyFont="1" applyBorder="1" applyAlignment="1">
      <alignment horizontal="right"/>
    </xf>
    <xf numFmtId="49" fontId="33" fillId="0" borderId="0" xfId="0" applyNumberFormat="1" applyFont="1" applyAlignment="1">
      <alignment horizontal="center"/>
    </xf>
    <xf numFmtId="8" fontId="33" fillId="0" borderId="0" xfId="0" applyNumberFormat="1" applyFont="1"/>
    <xf numFmtId="164" fontId="37" fillId="0" borderId="0" xfId="0" applyNumberFormat="1" applyFont="1"/>
    <xf numFmtId="0" fontId="29" fillId="0" borderId="0" xfId="0" applyFont="1"/>
    <xf numFmtId="49" fontId="29" fillId="0" borderId="0" xfId="0" applyNumberFormat="1" applyFont="1" applyAlignment="1">
      <alignment horizontal="left"/>
    </xf>
    <xf numFmtId="0" fontId="29" fillId="0" borderId="0" xfId="48" applyFont="1"/>
    <xf numFmtId="49" fontId="29" fillId="0" borderId="0" xfId="0" applyNumberFormat="1" applyFont="1" applyAlignment="1">
      <alignment horizontal="center"/>
    </xf>
    <xf numFmtId="164" fontId="29" fillId="0" borderId="0" xfId="48" applyNumberFormat="1" applyFont="1" applyAlignment="1">
      <alignment horizontal="center"/>
    </xf>
    <xf numFmtId="166" fontId="29" fillId="0" borderId="0" xfId="48" applyNumberFormat="1" applyFont="1" applyAlignment="1">
      <alignment horizontal="center"/>
    </xf>
    <xf numFmtId="8" fontId="29" fillId="0" borderId="0" xfId="48" applyNumberFormat="1" applyFont="1" applyAlignment="1">
      <alignment horizontal="center"/>
    </xf>
    <xf numFmtId="8" fontId="29" fillId="0" borderId="0" xfId="48" applyNumberFormat="1" applyFont="1" applyAlignment="1">
      <alignment horizontal="right"/>
    </xf>
    <xf numFmtId="8" fontId="29" fillId="0" borderId="0" xfId="0" applyNumberFormat="1" applyFont="1"/>
    <xf numFmtId="164" fontId="29" fillId="0" borderId="0" xfId="0" applyNumberFormat="1" applyFont="1"/>
    <xf numFmtId="49" fontId="29" fillId="0" borderId="0" xfId="0" applyNumberFormat="1" applyFont="1" applyFill="1" applyAlignment="1">
      <alignment horizontal="left"/>
    </xf>
    <xf numFmtId="0" fontId="29" fillId="0" borderId="0" xfId="0" applyFont="1" applyFill="1"/>
    <xf numFmtId="49" fontId="29" fillId="0" borderId="0" xfId="0" applyNumberFormat="1" applyFont="1" applyFill="1" applyAlignment="1">
      <alignment horizontal="center"/>
    </xf>
    <xf numFmtId="164" fontId="29" fillId="0" borderId="0" xfId="0" applyNumberFormat="1" applyFont="1" applyFill="1" applyAlignment="1">
      <alignment horizontal="center"/>
    </xf>
    <xf numFmtId="164" fontId="29" fillId="0" borderId="0" xfId="48" applyNumberFormat="1" applyFont="1" applyFill="1"/>
    <xf numFmtId="164" fontId="29" fillId="0" borderId="0" xfId="0" applyNumberFormat="1" applyFont="1" applyFill="1"/>
    <xf numFmtId="0" fontId="29" fillId="0" borderId="0" xfId="0" applyFont="1" applyFill="1" applyAlignment="1">
      <alignment horizontal="left"/>
    </xf>
    <xf numFmtId="0" fontId="29" fillId="0" borderId="0" xfId="0" applyFont="1" applyFill="1" applyAlignment="1">
      <alignment horizontal="center"/>
    </xf>
    <xf numFmtId="0" fontId="29" fillId="0" borderId="0" xfId="0" applyFont="1" applyFill="1" applyAlignment="1">
      <alignment horizontal="right"/>
    </xf>
    <xf numFmtId="8" fontId="29" fillId="0" borderId="0" xfId="0" applyNumberFormat="1" applyFont="1" applyFill="1" applyAlignment="1">
      <alignment horizontal="center"/>
    </xf>
    <xf numFmtId="167" fontId="29" fillId="0" borderId="0" xfId="0" applyNumberFormat="1" applyFont="1" applyFill="1" applyAlignment="1">
      <alignment horizontal="left"/>
    </xf>
    <xf numFmtId="0" fontId="37" fillId="0" borderId="0" xfId="49" applyFont="1" applyFill="1" applyAlignment="1">
      <alignment horizontal="center" wrapText="1"/>
    </xf>
    <xf numFmtId="164" fontId="29" fillId="0" borderId="0" xfId="0" applyNumberFormat="1" applyFont="1" applyAlignment="1">
      <alignment horizontal="center"/>
    </xf>
    <xf numFmtId="4" fontId="29" fillId="0" borderId="0" xfId="48" applyNumberFormat="1" applyFont="1" applyAlignment="1">
      <alignment horizontal="center"/>
    </xf>
    <xf numFmtId="164" fontId="29" fillId="0" borderId="0" xfId="48" applyNumberFormat="1" applyFont="1"/>
    <xf numFmtId="165" fontId="31" fillId="0" borderId="0" xfId="0" applyNumberFormat="1" applyFont="1" applyAlignment="1">
      <alignment horizontal="left"/>
    </xf>
    <xf numFmtId="0" fontId="29" fillId="0" borderId="0" xfId="0" applyFont="1" applyAlignment="1">
      <alignment horizontal="left"/>
    </xf>
    <xf numFmtId="8" fontId="29" fillId="0" borderId="11" xfId="0" applyNumberFormat="1" applyFont="1" applyBorder="1" applyAlignment="1">
      <alignment horizontal="left"/>
    </xf>
    <xf numFmtId="8" fontId="29" fillId="0" borderId="11" xfId="0" applyNumberFormat="1" applyFont="1" applyBorder="1"/>
    <xf numFmtId="8" fontId="29" fillId="0" borderId="11" xfId="0" applyNumberFormat="1" applyFont="1" applyBorder="1" applyAlignment="1">
      <alignment horizontal="right"/>
    </xf>
    <xf numFmtId="8" fontId="29" fillId="0" borderId="11" xfId="0" applyNumberFormat="1" applyFont="1" applyBorder="1" applyAlignment="1">
      <alignment horizontal="center"/>
    </xf>
    <xf numFmtId="8" fontId="29" fillId="0" borderId="11" xfId="48" applyNumberFormat="1" applyFont="1" applyBorder="1" applyAlignment="1">
      <alignment horizontal="center"/>
    </xf>
    <xf numFmtId="8" fontId="29" fillId="0" borderId="11" xfId="48" applyNumberFormat="1" applyFont="1" applyBorder="1" applyAlignment="1">
      <alignment horizontal="right"/>
    </xf>
    <xf numFmtId="49" fontId="37" fillId="0" borderId="0" xfId="0" applyNumberFormat="1" applyFont="1" applyAlignment="1">
      <alignment horizontal="left"/>
    </xf>
    <xf numFmtId="0" fontId="33" fillId="0" borderId="0" xfId="0" applyFont="1" applyAlignment="1">
      <alignment horizontal="right"/>
    </xf>
    <xf numFmtId="168" fontId="33" fillId="0" borderId="0" xfId="0" applyNumberFormat="1" applyFont="1" applyAlignment="1">
      <alignment horizontal="right"/>
    </xf>
    <xf numFmtId="170" fontId="32" fillId="0" borderId="0" xfId="0" applyNumberFormat="1" applyFont="1" applyAlignment="1">
      <alignment horizontal="right"/>
    </xf>
    <xf numFmtId="0" fontId="38" fillId="0" borderId="11" xfId="0" applyFont="1" applyBorder="1" applyAlignment="1">
      <alignment horizontal="left"/>
    </xf>
    <xf numFmtId="0" fontId="32" fillId="0" borderId="11" xfId="0" applyFont="1" applyBorder="1" applyAlignment="1">
      <alignment horizontal="right"/>
    </xf>
    <xf numFmtId="168" fontId="32" fillId="0" borderId="11" xfId="0" applyNumberFormat="1" applyFont="1" applyBorder="1" applyAlignment="1">
      <alignment horizontal="right"/>
    </xf>
    <xf numFmtId="8" fontId="32" fillId="0" borderId="11" xfId="0" applyNumberFormat="1" applyFont="1" applyBorder="1" applyAlignment="1">
      <alignment horizontal="right"/>
    </xf>
    <xf numFmtId="8" fontId="32" fillId="0" borderId="0" xfId="0" applyNumberFormat="1" applyFont="1" applyAlignment="1">
      <alignment horizontal="right"/>
    </xf>
    <xf numFmtId="0" fontId="32" fillId="0" borderId="0" xfId="0" applyFont="1" applyAlignment="1">
      <alignment horizontal="right" wrapText="1"/>
    </xf>
    <xf numFmtId="168" fontId="33" fillId="0" borderId="0" xfId="49" applyNumberFormat="1" applyFont="1" applyFill="1" applyAlignment="1">
      <alignment horizontal="center"/>
    </xf>
    <xf numFmtId="8" fontId="33" fillId="0" borderId="0" xfId="49" applyNumberFormat="1" applyFont="1" applyFill="1" applyAlignment="1">
      <alignment horizontal="center" wrapText="1"/>
    </xf>
    <xf numFmtId="0" fontId="33" fillId="34" borderId="13" xfId="49" applyFont="1" applyFill="1" applyBorder="1" applyAlignment="1">
      <alignment horizontal="center"/>
    </xf>
    <xf numFmtId="0" fontId="33" fillId="34" borderId="14" xfId="49" applyFont="1" applyFill="1" applyBorder="1" applyAlignment="1">
      <alignment horizontal="center"/>
    </xf>
    <xf numFmtId="8" fontId="29" fillId="34" borderId="11" xfId="0" applyNumberFormat="1" applyFont="1" applyFill="1" applyBorder="1"/>
    <xf numFmtId="169" fontId="33" fillId="34" borderId="13" xfId="0" applyNumberFormat="1" applyFont="1" applyFill="1" applyBorder="1" applyAlignment="1">
      <alignment horizontal="right"/>
    </xf>
    <xf numFmtId="0" fontId="33" fillId="34" borderId="14" xfId="0" applyFont="1" applyFill="1" applyBorder="1" applyAlignment="1">
      <alignment horizontal="right"/>
    </xf>
    <xf numFmtId="8" fontId="33" fillId="34" borderId="14" xfId="0" applyNumberFormat="1" applyFont="1" applyFill="1" applyBorder="1" applyAlignment="1">
      <alignment horizontal="right"/>
    </xf>
    <xf numFmtId="169" fontId="32" fillId="34" borderId="15" xfId="0" applyNumberFormat="1" applyFont="1" applyFill="1" applyBorder="1" applyAlignment="1">
      <alignment horizontal="center"/>
    </xf>
    <xf numFmtId="164" fontId="32" fillId="34" borderId="16" xfId="0" applyNumberFormat="1" applyFont="1" applyFill="1" applyBorder="1" applyAlignment="1">
      <alignment horizontal="center"/>
    </xf>
    <xf numFmtId="0" fontId="33" fillId="35" borderId="13" xfId="49" applyFont="1" applyFill="1" applyBorder="1" applyAlignment="1">
      <alignment horizontal="center"/>
    </xf>
    <xf numFmtId="0" fontId="33" fillId="35" borderId="14" xfId="49" applyFont="1" applyFill="1" applyBorder="1" applyAlignment="1">
      <alignment horizontal="center"/>
    </xf>
    <xf numFmtId="8" fontId="29" fillId="35" borderId="11" xfId="0" applyNumberFormat="1" applyFont="1" applyFill="1" applyBorder="1"/>
    <xf numFmtId="169" fontId="33" fillId="35" borderId="13" xfId="0" applyNumberFormat="1" applyFont="1" applyFill="1" applyBorder="1" applyAlignment="1">
      <alignment horizontal="right"/>
    </xf>
    <xf numFmtId="0" fontId="33" fillId="35" borderId="14" xfId="0" applyFont="1" applyFill="1" applyBorder="1" applyAlignment="1">
      <alignment horizontal="right"/>
    </xf>
    <xf numFmtId="8" fontId="33" fillId="35" borderId="13" xfId="0" applyNumberFormat="1" applyFont="1" applyFill="1" applyBorder="1" applyAlignment="1">
      <alignment horizontal="right"/>
    </xf>
    <xf numFmtId="8" fontId="33" fillId="35" borderId="14" xfId="0" applyNumberFormat="1" applyFont="1" applyFill="1" applyBorder="1" applyAlignment="1">
      <alignment horizontal="right"/>
    </xf>
    <xf numFmtId="169" fontId="32" fillId="35" borderId="15" xfId="0" applyNumberFormat="1" applyFont="1" applyFill="1" applyBorder="1" applyAlignment="1">
      <alignment horizontal="center"/>
    </xf>
    <xf numFmtId="164" fontId="32" fillId="35" borderId="16" xfId="0" applyNumberFormat="1" applyFont="1" applyFill="1" applyBorder="1" applyAlignment="1">
      <alignment horizontal="center"/>
    </xf>
    <xf numFmtId="169" fontId="33" fillId="35" borderId="13" xfId="0" applyNumberFormat="1" applyFont="1" applyFill="1" applyBorder="1" applyAlignment="1">
      <alignment horizontal="center"/>
    </xf>
    <xf numFmtId="169" fontId="32" fillId="35" borderId="10" xfId="0" applyNumberFormat="1" applyFont="1" applyFill="1" applyBorder="1" applyAlignment="1">
      <alignment horizontal="center"/>
    </xf>
    <xf numFmtId="8" fontId="32" fillId="35" borderId="10" xfId="0" applyNumberFormat="1" applyFont="1" applyFill="1" applyBorder="1" applyAlignment="1">
      <alignment horizontal="center"/>
    </xf>
    <xf numFmtId="169" fontId="33" fillId="34" borderId="13" xfId="0" applyNumberFormat="1" applyFont="1" applyFill="1" applyBorder="1" applyAlignment="1">
      <alignment horizontal="center"/>
    </xf>
    <xf numFmtId="8" fontId="33" fillId="34" borderId="13" xfId="0" applyNumberFormat="1" applyFont="1" applyFill="1" applyBorder="1" applyAlignment="1">
      <alignment horizontal="center"/>
    </xf>
    <xf numFmtId="169" fontId="32" fillId="34" borderId="10" xfId="0" applyNumberFormat="1" applyFont="1" applyFill="1" applyBorder="1" applyAlignment="1">
      <alignment horizontal="center"/>
    </xf>
    <xf numFmtId="8" fontId="32" fillId="34" borderId="10" xfId="0" applyNumberFormat="1" applyFont="1" applyFill="1" applyBorder="1" applyAlignment="1">
      <alignment horizontal="center"/>
    </xf>
    <xf numFmtId="0" fontId="37" fillId="0" borderId="0" xfId="49" applyFont="1" applyFill="1" applyAlignment="1">
      <alignment horizontal="center"/>
    </xf>
    <xf numFmtId="8" fontId="33" fillId="0" borderId="11" xfId="0" applyNumberFormat="1" applyFont="1" applyBorder="1" applyAlignment="1">
      <alignment horizontal="center"/>
    </xf>
    <xf numFmtId="8" fontId="33" fillId="0" borderId="10" xfId="0" applyNumberFormat="1" applyFont="1" applyBorder="1" applyAlignment="1">
      <alignment horizontal="right"/>
    </xf>
    <xf numFmtId="165" fontId="29" fillId="0" borderId="0" xfId="49" applyNumberFormat="1" applyFont="1" applyFill="1" applyAlignment="1">
      <alignment horizontal="center"/>
    </xf>
    <xf numFmtId="164" fontId="37" fillId="0" borderId="0" xfId="49" applyNumberFormat="1" applyFont="1" applyFill="1" applyAlignment="1">
      <alignment horizontal="center"/>
    </xf>
    <xf numFmtId="8" fontId="37" fillId="0" borderId="0" xfId="0" applyNumberFormat="1" applyFont="1" applyAlignment="1">
      <alignment horizontal="center"/>
    </xf>
    <xf numFmtId="164" fontId="37" fillId="0" borderId="0" xfId="0" applyNumberFormat="1" applyFont="1" applyAlignment="1">
      <alignment horizontal="center" wrapText="1"/>
    </xf>
    <xf numFmtId="3" fontId="37" fillId="0" borderId="0" xfId="0" applyNumberFormat="1" applyFont="1" applyAlignment="1">
      <alignment horizontal="center"/>
    </xf>
    <xf numFmtId="164" fontId="37" fillId="0" borderId="0" xfId="0" applyNumberFormat="1" applyFont="1" applyAlignment="1">
      <alignment horizontal="center"/>
    </xf>
    <xf numFmtId="0" fontId="37" fillId="0" borderId="0" xfId="49" applyFont="1" applyFill="1" applyAlignment="1">
      <alignment horizontal="center" vertical="top" wrapText="1"/>
    </xf>
    <xf numFmtId="8" fontId="33" fillId="0" borderId="12" xfId="0" applyNumberFormat="1" applyFont="1" applyBorder="1" applyAlignment="1">
      <alignment horizontal="center"/>
    </xf>
    <xf numFmtId="8" fontId="33" fillId="0" borderId="10" xfId="0" applyNumberFormat="1" applyFont="1" applyBorder="1" applyAlignment="1">
      <alignment horizontal="center"/>
    </xf>
    <xf numFmtId="0" fontId="37" fillId="0" borderId="0" xfId="0" applyFont="1" applyAlignment="1">
      <alignment horizontal="left"/>
    </xf>
    <xf numFmtId="0" fontId="33" fillId="0" borderId="0" xfId="0" applyFont="1" applyAlignment="1">
      <alignment horizontal="center" vertical="center"/>
    </xf>
    <xf numFmtId="49" fontId="29" fillId="0" borderId="10" xfId="49" applyNumberFormat="1" applyFont="1" applyFill="1" applyBorder="1" applyAlignment="1">
      <alignment horizontal="left"/>
    </xf>
    <xf numFmtId="0" fontId="29" fillId="0" borderId="10" xfId="49" applyFont="1" applyFill="1" applyBorder="1"/>
    <xf numFmtId="164" fontId="31" fillId="0" borderId="10" xfId="49" applyNumberFormat="1" applyFont="1" applyFill="1" applyBorder="1" applyAlignment="1">
      <alignment horizontal="center"/>
    </xf>
    <xf numFmtId="49" fontId="29" fillId="0" borderId="0" xfId="49" applyNumberFormat="1" applyFont="1" applyFill="1" applyBorder="1" applyAlignment="1">
      <alignment horizontal="left"/>
    </xf>
    <xf numFmtId="0" fontId="29" fillId="0" borderId="0" xfId="49" applyFont="1" applyFill="1" applyBorder="1"/>
    <xf numFmtId="164" fontId="31" fillId="0" borderId="0" xfId="49" applyNumberFormat="1" applyFont="1" applyFill="1" applyBorder="1" applyAlignment="1">
      <alignment horizontal="center"/>
    </xf>
    <xf numFmtId="164" fontId="29" fillId="0" borderId="10" xfId="49" applyNumberFormat="1" applyFont="1" applyFill="1" applyBorder="1" applyAlignment="1">
      <alignment horizontal="center"/>
    </xf>
    <xf numFmtId="164" fontId="31" fillId="0" borderId="0" xfId="49" applyNumberFormat="1" applyFont="1" applyFill="1" applyBorder="1" applyAlignment="1">
      <alignment horizontal="right"/>
    </xf>
    <xf numFmtId="0" fontId="33" fillId="0" borderId="0" xfId="49" applyFont="1" applyFill="1" applyAlignment="1">
      <alignment horizontal="center" wrapText="1"/>
    </xf>
    <xf numFmtId="0" fontId="29" fillId="0" borderId="0" xfId="0" applyFont="1" applyAlignment="1">
      <alignment horizontal="center" vertical="center"/>
    </xf>
    <xf numFmtId="164" fontId="33" fillId="0" borderId="0" xfId="0" applyNumberFormat="1" applyFont="1" applyAlignment="1">
      <alignment horizontal="center" wrapText="1"/>
    </xf>
    <xf numFmtId="0" fontId="39" fillId="0" borderId="0" xfId="0" applyFont="1"/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8" fontId="33" fillId="0" borderId="0" xfId="0" applyNumberFormat="1" applyFont="1" applyAlignment="1">
      <alignment horizontal="center"/>
    </xf>
    <xf numFmtId="164" fontId="33" fillId="0" borderId="0" xfId="0" applyNumberFormat="1" applyFont="1" applyAlignment="1">
      <alignment horizontal="right"/>
    </xf>
    <xf numFmtId="14" fontId="33" fillId="0" borderId="0" xfId="0" applyNumberFormat="1" applyFont="1" applyAlignment="1">
      <alignment horizontal="right"/>
    </xf>
    <xf numFmtId="4" fontId="33" fillId="0" borderId="0" xfId="0" applyNumberFormat="1" applyFont="1" applyAlignment="1">
      <alignment horizontal="right"/>
    </xf>
    <xf numFmtId="8" fontId="39" fillId="0" borderId="0" xfId="0" applyNumberFormat="1" applyFont="1"/>
    <xf numFmtId="0" fontId="37" fillId="0" borderId="0" xfId="49" applyFont="1" applyFill="1" applyAlignment="1">
      <alignment horizontal="left" indent="2"/>
    </xf>
    <xf numFmtId="1" fontId="38" fillId="0" borderId="0" xfId="0" applyNumberFormat="1" applyFont="1" applyAlignment="1">
      <alignment horizontal="right"/>
    </xf>
    <xf numFmtId="0" fontId="33" fillId="0" borderId="0" xfId="54" applyFont="1" applyAlignment="1">
      <alignment horizontal="left"/>
    </xf>
    <xf numFmtId="0" fontId="33" fillId="0" borderId="0" xfId="54" applyFont="1"/>
    <xf numFmtId="0" fontId="33" fillId="0" borderId="0" xfId="54" applyFont="1" applyAlignment="1">
      <alignment horizontal="center"/>
    </xf>
    <xf numFmtId="3" fontId="38" fillId="0" borderId="0" xfId="0" applyNumberFormat="1" applyFont="1" applyAlignment="1">
      <alignment horizontal="center"/>
    </xf>
    <xf numFmtId="49" fontId="33" fillId="0" borderId="0" xfId="49" applyNumberFormat="1" applyFont="1" applyAlignment="1">
      <alignment horizontal="left"/>
    </xf>
    <xf numFmtId="0" fontId="33" fillId="0" borderId="0" xfId="49" applyFont="1"/>
    <xf numFmtId="49" fontId="33" fillId="0" borderId="0" xfId="49" applyNumberFormat="1" applyFont="1" applyAlignment="1">
      <alignment horizontal="center"/>
    </xf>
    <xf numFmtId="164" fontId="33" fillId="0" borderId="0" xfId="49" applyNumberFormat="1" applyFont="1" applyAlignment="1">
      <alignment horizontal="center"/>
    </xf>
    <xf numFmtId="8" fontId="33" fillId="0" borderId="0" xfId="49" applyNumberFormat="1" applyFont="1" applyAlignment="1">
      <alignment horizontal="center"/>
    </xf>
    <xf numFmtId="164" fontId="33" fillId="0" borderId="0" xfId="49" applyNumberFormat="1" applyFont="1" applyAlignment="1">
      <alignment horizontal="right"/>
    </xf>
    <xf numFmtId="0" fontId="33" fillId="0" borderId="0" xfId="49" applyFont="1" applyAlignment="1">
      <alignment horizontal="left"/>
    </xf>
    <xf numFmtId="0" fontId="33" fillId="0" borderId="0" xfId="49" applyFont="1" applyAlignment="1">
      <alignment horizontal="center"/>
    </xf>
    <xf numFmtId="3" fontId="40" fillId="33" borderId="0" xfId="0" applyNumberFormat="1" applyFont="1" applyFill="1" applyAlignment="1">
      <alignment horizontal="center"/>
    </xf>
    <xf numFmtId="0" fontId="33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2" fillId="34" borderId="13" xfId="0" applyFont="1" applyFill="1" applyBorder="1" applyAlignment="1">
      <alignment horizontal="center"/>
    </xf>
    <xf numFmtId="0" fontId="33" fillId="34" borderId="14" xfId="0" applyFont="1" applyFill="1" applyBorder="1"/>
    <xf numFmtId="0" fontId="32" fillId="35" borderId="13" xfId="0" applyFont="1" applyFill="1" applyBorder="1" applyAlignment="1">
      <alignment horizontal="center"/>
    </xf>
    <xf numFmtId="0" fontId="33" fillId="35" borderId="14" xfId="0" applyFont="1" applyFill="1" applyBorder="1" applyAlignment="1">
      <alignment horizontal="center"/>
    </xf>
  </cellXfs>
  <cellStyles count="6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Check Cell" xfId="13" builtinId="23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ální 10 2" xfId="60" xr:uid="{D03880A7-168E-4A55-A2E3-E8D411A8966E}"/>
    <cellStyle name="Normální 2" xfId="42" xr:uid="{00000000-0005-0000-0000-00001B000000}"/>
    <cellStyle name="Normální 2 2" xfId="49" xr:uid="{00000000-0005-0000-0000-00001C000000}"/>
    <cellStyle name="Normální 2 2 2" xfId="58" xr:uid="{32139732-2D69-49DC-AC95-7C34FEC3DBB6}"/>
    <cellStyle name="Normální 2 3" xfId="51" xr:uid="{37ED51B1-66A5-4DEF-A581-8A7D2D9AADA3}"/>
    <cellStyle name="Normální 3" xfId="43" xr:uid="{00000000-0005-0000-0000-00001D000000}"/>
    <cellStyle name="Normální 3 2" xfId="48" xr:uid="{00000000-0005-0000-0000-00001E000000}"/>
    <cellStyle name="Normální 3 2 2" xfId="61" xr:uid="{AAE4479F-C31B-46B8-88D7-0DF5C533A4D5}"/>
    <cellStyle name="Normální 3 7" xfId="52" xr:uid="{3D048151-7381-45A1-B649-1EB022CB8DAC}"/>
    <cellStyle name="Normální 3 8" xfId="53" xr:uid="{7489186A-CA5F-4766-98C5-A0B1E741B820}"/>
    <cellStyle name="Normální 4" xfId="44" xr:uid="{00000000-0005-0000-0000-00001F000000}"/>
    <cellStyle name="Normální 4 2" xfId="47" xr:uid="{00000000-0005-0000-0000-000020000000}"/>
    <cellStyle name="Normální 4 2 2" xfId="55" xr:uid="{B7360351-6809-4D6F-8029-EDB8C9677A74}"/>
    <cellStyle name="Normální 5" xfId="46" xr:uid="{00000000-0005-0000-0000-000021000000}"/>
    <cellStyle name="Normální 5 2" xfId="62" xr:uid="{33AEF09A-B57B-4938-A8A1-9E7AD79C619E}"/>
    <cellStyle name="Normální 5 2 2 2" xfId="56" xr:uid="{33E68052-5FC9-42ED-8909-0C6CABEBDB64}"/>
    <cellStyle name="Normální 6" xfId="57" xr:uid="{188E19ED-ECF5-4D16-9996-BA080B6D005F}"/>
    <cellStyle name="Normální 8" xfId="50" xr:uid="{00000000-0005-0000-0000-000022000000}"/>
    <cellStyle name="Normální 9 2" xfId="59" xr:uid="{836C8CB2-9F5F-411A-8089-8A57AA6D6297}"/>
    <cellStyle name="normální_Sešit2" xfId="54" xr:uid="{243937E5-647F-4439-8D77-12416A9306FD}"/>
    <cellStyle name="Note" xfId="15" builtinId="10" customBuiltin="1"/>
    <cellStyle name="Output" xfId="10" builtinId="21" customBuiltin="1"/>
    <cellStyle name="Procenta 2" xfId="45" xr:uid="{00000000-0005-0000-0000-000025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FFDD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rigema%20Facility%20s.r.o\01_Sprava\03%20Ekonomick&#225;%20spr&#225;va\REM\VZORY%20pro%20import_nove\Kryloveck&#225;\LSMW_import_Kryloveck&#225;%20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kladní data"/>
      <sheetName val="Jednotky"/>
      <sheetName val="Vlastnické podíly_výpočet"/>
      <sheetName val="Podmínky_výpočet"/>
      <sheetName val="Číselníky"/>
      <sheetName val="1AO"/>
      <sheetName val="2NO"/>
      <sheetName val="3VYMERENI"/>
      <sheetName val="4SMLOUVY"/>
      <sheetName val="5UPRAVA"/>
      <sheetName val="6PODMINKY"/>
    </sheetNames>
    <sheetDataSet>
      <sheetData sheetId="0">
        <row r="2">
          <cell r="B2" t="str">
            <v>S038</v>
          </cell>
        </row>
      </sheetData>
      <sheetData sheetId="1">
        <row r="3">
          <cell r="L3" t="str">
            <v>B002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882A4-3019-4640-BEAB-ECD97C9BD70D}">
  <dimension ref="A1:T409"/>
  <sheetViews>
    <sheetView tabSelected="1" zoomScale="85" zoomScaleNormal="85" workbookViewId="0">
      <selection activeCell="O107" sqref="O107"/>
    </sheetView>
  </sheetViews>
  <sheetFormatPr defaultRowHeight="15.95" customHeight="1" outlineLevelRow="2" x14ac:dyDescent="0.2"/>
  <cols>
    <col min="1" max="1" width="9.5703125" style="77" customWidth="1"/>
    <col min="2" max="2" width="21.5703125" style="79" customWidth="1"/>
    <col min="3" max="3" width="28.85546875" style="79" customWidth="1"/>
    <col min="4" max="4" width="12.7109375" style="79" customWidth="1"/>
    <col min="5" max="5" width="14.28515625" style="81" customWidth="1"/>
    <col min="6" max="6" width="13.42578125" style="79" customWidth="1"/>
    <col min="7" max="7" width="16.42578125" style="79" customWidth="1"/>
    <col min="8" max="8" width="19.5703125" style="79" customWidth="1"/>
    <col min="9" max="9" width="15.140625" style="79" customWidth="1"/>
    <col min="10" max="10" width="14.140625" style="79" customWidth="1"/>
    <col min="11" max="11" width="13" style="79" customWidth="1"/>
    <col min="12" max="12" width="12.28515625" style="79" customWidth="1"/>
    <col min="13" max="13" width="11.42578125" style="79" customWidth="1"/>
    <col min="14" max="14" width="15.85546875" style="77" customWidth="1"/>
    <col min="15" max="15" width="15.140625" style="79" customWidth="1"/>
    <col min="16" max="17" width="14.140625" style="79" bestFit="1" customWidth="1"/>
    <col min="18" max="19" width="10.5703125" style="81" bestFit="1" customWidth="1"/>
    <col min="20" max="16384" width="9.140625" style="79"/>
  </cols>
  <sheetData>
    <row r="1" spans="1:19" s="5" customFormat="1" ht="15.75" customHeight="1" x14ac:dyDescent="0.25">
      <c r="A1" s="2"/>
      <c r="B1" s="3" t="s">
        <v>23</v>
      </c>
      <c r="C1" s="4"/>
      <c r="E1" s="6"/>
      <c r="F1" s="4"/>
      <c r="G1" s="7"/>
      <c r="H1" s="8"/>
      <c r="I1" s="9"/>
      <c r="N1" s="2"/>
      <c r="R1" s="75"/>
      <c r="S1" s="75"/>
    </row>
    <row r="2" spans="1:19" ht="19.5" customHeight="1" x14ac:dyDescent="0.2">
      <c r="B2" s="79" t="s">
        <v>1</v>
      </c>
      <c r="C2" s="79" t="s">
        <v>2</v>
      </c>
      <c r="D2" s="139" t="s">
        <v>3</v>
      </c>
      <c r="E2" s="82" t="s">
        <v>4</v>
      </c>
      <c r="F2" s="82" t="s">
        <v>5</v>
      </c>
      <c r="G2" s="82" t="s">
        <v>6</v>
      </c>
      <c r="H2" s="82" t="s">
        <v>123</v>
      </c>
      <c r="I2" s="81" t="s">
        <v>0</v>
      </c>
      <c r="M2" s="81"/>
      <c r="N2" s="81"/>
      <c r="R2" s="79"/>
      <c r="S2" s="79"/>
    </row>
    <row r="3" spans="1:19" s="129" customFormat="1" ht="15.75" customHeight="1" outlineLevel="2" x14ac:dyDescent="0.2">
      <c r="A3" s="134"/>
      <c r="C3" s="136" t="s">
        <v>116</v>
      </c>
      <c r="D3" s="135"/>
      <c r="E3" s="137"/>
      <c r="F3" s="84"/>
      <c r="G3" s="85"/>
      <c r="H3" s="85"/>
      <c r="I3" s="86">
        <v>-0.22</v>
      </c>
      <c r="O3" s="135"/>
      <c r="P3" s="135"/>
    </row>
    <row r="4" spans="1:19" s="129" customFormat="1" ht="15.75" customHeight="1" x14ac:dyDescent="0.2">
      <c r="A4" s="128" t="s">
        <v>117</v>
      </c>
      <c r="B4" s="129" t="s">
        <v>8</v>
      </c>
      <c r="C4" s="129" t="s">
        <v>118</v>
      </c>
      <c r="D4" s="130" t="s">
        <v>119</v>
      </c>
      <c r="E4" s="131">
        <f>44.28+37.54</f>
        <v>81.819999999999993</v>
      </c>
      <c r="F4" s="84">
        <f>18301-16743</f>
        <v>1558</v>
      </c>
      <c r="G4" s="85">
        <f>ROUND(E4*F4,2)</f>
        <v>127475.56</v>
      </c>
      <c r="H4" s="85">
        <f>ROUND(G4*0.15,2)</f>
        <v>19121.330000000002</v>
      </c>
      <c r="I4" s="86">
        <f>ROUND(G4+H4,0)</f>
        <v>146597</v>
      </c>
      <c r="J4" s="132"/>
      <c r="K4" s="138"/>
      <c r="L4" s="133"/>
      <c r="N4" s="134"/>
      <c r="R4" s="135"/>
      <c r="S4" s="135"/>
    </row>
    <row r="5" spans="1:19" s="129" customFormat="1" ht="15.75" customHeight="1" x14ac:dyDescent="0.2">
      <c r="A5" s="128" t="s">
        <v>117</v>
      </c>
      <c r="B5" s="129" t="s">
        <v>8</v>
      </c>
      <c r="C5" s="129" t="s">
        <v>120</v>
      </c>
      <c r="D5" s="130" t="s">
        <v>119</v>
      </c>
      <c r="E5" s="131">
        <f>45.73+39.81</f>
        <v>85.539999999999992</v>
      </c>
      <c r="F5" s="84">
        <f>21350-18301</f>
        <v>3049</v>
      </c>
      <c r="G5" s="85">
        <f>ROUND(E5*F5,2)</f>
        <v>260811.46</v>
      </c>
      <c r="H5" s="85">
        <f>ROUND(G5*0.15,2)-10014</f>
        <v>29107.72</v>
      </c>
      <c r="I5" s="86">
        <f>ROUND(G5+H5,0)</f>
        <v>289919</v>
      </c>
      <c r="J5" s="132"/>
      <c r="K5" s="138"/>
      <c r="L5" s="133"/>
      <c r="N5" s="134"/>
      <c r="R5" s="135"/>
      <c r="S5" s="135"/>
    </row>
    <row r="6" spans="1:19" ht="15.95" customHeight="1" x14ac:dyDescent="0.2">
      <c r="A6" s="90"/>
      <c r="B6" s="91" t="s">
        <v>0</v>
      </c>
      <c r="C6" s="91"/>
      <c r="D6" s="92"/>
      <c r="E6" s="93">
        <f>ROUND(I6/F6,2)</f>
        <v>94.75</v>
      </c>
      <c r="F6" s="94">
        <f>SUM(F4:F5)</f>
        <v>4607</v>
      </c>
      <c r="G6" s="103">
        <f>SUM(G4:G5)</f>
        <v>388287.02</v>
      </c>
      <c r="H6" s="103">
        <f t="shared" ref="H6" si="0">SUM(H4:H5)</f>
        <v>48229.05</v>
      </c>
      <c r="I6" s="95">
        <f>SUM(I3:I5)</f>
        <v>436515.78</v>
      </c>
      <c r="J6" s="89"/>
      <c r="L6" s="81"/>
      <c r="M6" s="81"/>
      <c r="N6" s="79"/>
      <c r="R6" s="79"/>
      <c r="S6" s="79"/>
    </row>
    <row r="7" spans="1:19" s="5" customFormat="1" ht="15.75" customHeight="1" x14ac:dyDescent="0.25">
      <c r="A7" s="2"/>
      <c r="B7" s="3" t="s">
        <v>33</v>
      </c>
      <c r="C7" s="4"/>
      <c r="E7" s="6"/>
      <c r="F7" s="4"/>
      <c r="G7" s="7"/>
      <c r="H7" s="8"/>
      <c r="I7" s="9"/>
      <c r="N7" s="2"/>
      <c r="R7" s="75"/>
      <c r="S7" s="75"/>
    </row>
    <row r="8" spans="1:19" ht="15.95" customHeight="1" x14ac:dyDescent="0.2">
      <c r="B8" s="79" t="s">
        <v>1</v>
      </c>
      <c r="C8" s="79" t="s">
        <v>2</v>
      </c>
      <c r="D8" s="139" t="s">
        <v>3</v>
      </c>
      <c r="E8" s="82" t="s">
        <v>4</v>
      </c>
      <c r="F8" s="82" t="s">
        <v>5</v>
      </c>
      <c r="G8" s="82" t="s">
        <v>6</v>
      </c>
      <c r="H8" s="82" t="s">
        <v>14</v>
      </c>
      <c r="I8" s="81" t="s">
        <v>0</v>
      </c>
      <c r="N8" s="79"/>
      <c r="R8" s="79"/>
      <c r="S8" s="79"/>
    </row>
    <row r="9" spans="1:19" s="118" customFormat="1" ht="15.75" customHeight="1" x14ac:dyDescent="0.2">
      <c r="A9" s="119" t="s">
        <v>117</v>
      </c>
      <c r="B9" s="120" t="s">
        <v>8</v>
      </c>
      <c r="C9" s="120" t="s">
        <v>121</v>
      </c>
      <c r="D9" s="121" t="s">
        <v>119</v>
      </c>
      <c r="E9" s="122">
        <v>37.54</v>
      </c>
      <c r="F9" s="123">
        <v>17.521999999999998</v>
      </c>
      <c r="G9" s="124">
        <f>ROUND(E9*F9,2)</f>
        <v>657.78</v>
      </c>
      <c r="H9" s="124">
        <f>ROUND(G9*0.15,2)</f>
        <v>98.67</v>
      </c>
      <c r="I9" s="125">
        <f>ROUND(G9+H9,0)</f>
        <v>756</v>
      </c>
      <c r="J9" s="126"/>
      <c r="K9" s="127"/>
      <c r="L9" s="127"/>
    </row>
    <row r="10" spans="1:19" s="118" customFormat="1" ht="15.75" customHeight="1" x14ac:dyDescent="0.2">
      <c r="A10" s="119" t="s">
        <v>117</v>
      </c>
      <c r="B10" s="120" t="s">
        <v>8</v>
      </c>
      <c r="C10" s="120" t="s">
        <v>122</v>
      </c>
      <c r="D10" s="121" t="s">
        <v>119</v>
      </c>
      <c r="E10" s="122">
        <v>39.81</v>
      </c>
      <c r="F10" s="123">
        <v>35.478000000000002</v>
      </c>
      <c r="G10" s="124">
        <f>ROUND(E10*F10,2)</f>
        <v>1412.38</v>
      </c>
      <c r="H10" s="124">
        <f>ROUND(G10*0.1,2)</f>
        <v>141.24</v>
      </c>
      <c r="I10" s="125">
        <f>ROUND(G10+H10,0)</f>
        <v>1554</v>
      </c>
      <c r="J10" s="126"/>
      <c r="K10" s="127"/>
      <c r="L10" s="127"/>
    </row>
    <row r="11" spans="1:19" ht="15.95" customHeight="1" x14ac:dyDescent="0.2">
      <c r="A11" s="90"/>
      <c r="B11" s="91" t="s">
        <v>0</v>
      </c>
      <c r="C11" s="91"/>
      <c r="D11" s="92"/>
      <c r="E11" s="93">
        <f>ROUND(I11/F11,2)</f>
        <v>43.58</v>
      </c>
      <c r="F11" s="102">
        <f>SUM(F9:F10)</f>
        <v>53</v>
      </c>
      <c r="G11" s="103">
        <f>SUM(G9:G10)</f>
        <v>2070.16</v>
      </c>
      <c r="H11" s="103">
        <f t="shared" ref="H11:I11" si="1">SUM(H9:H10)</f>
        <v>239.91000000000003</v>
      </c>
      <c r="I11" s="95">
        <f t="shared" si="1"/>
        <v>2310</v>
      </c>
      <c r="N11" s="79"/>
      <c r="R11" s="79"/>
      <c r="S11" s="79"/>
    </row>
    <row r="12" spans="1:19" s="15" customFormat="1" ht="15.75" customHeight="1" thickBot="1" x14ac:dyDescent="0.25">
      <c r="A12" s="23"/>
      <c r="B12" s="24" t="s">
        <v>34</v>
      </c>
      <c r="C12" s="25"/>
      <c r="D12" s="18"/>
      <c r="E12" s="18"/>
      <c r="F12" s="18"/>
      <c r="G12" s="17"/>
      <c r="H12" s="17"/>
      <c r="I12" s="26">
        <f>I6+I11</f>
        <v>438825.78</v>
      </c>
      <c r="J12" s="17"/>
      <c r="K12" s="17"/>
      <c r="L12" s="27"/>
      <c r="O12" s="16"/>
      <c r="P12" s="16"/>
    </row>
    <row r="13" spans="1:19" ht="15.95" customHeight="1" thickTop="1" x14ac:dyDescent="0.2">
      <c r="A13" s="87"/>
      <c r="C13" s="96"/>
      <c r="D13" s="97"/>
      <c r="E13" s="97"/>
      <c r="F13" s="97"/>
      <c r="G13" s="98"/>
      <c r="H13" s="98"/>
      <c r="I13" s="98"/>
      <c r="J13" s="99"/>
      <c r="M13" s="81"/>
      <c r="N13" s="81"/>
      <c r="R13" s="79"/>
      <c r="S13" s="79"/>
    </row>
    <row r="14" spans="1:19" s="5" customFormat="1" ht="15.75" customHeight="1" x14ac:dyDescent="0.25">
      <c r="A14" s="2"/>
      <c r="B14" s="3" t="s">
        <v>35</v>
      </c>
      <c r="C14" s="4"/>
      <c r="E14" s="29"/>
      <c r="F14" s="4"/>
      <c r="G14" s="7"/>
      <c r="H14" s="8"/>
      <c r="I14" s="9"/>
      <c r="O14" s="75"/>
      <c r="P14" s="75"/>
    </row>
    <row r="15" spans="1:19" ht="15.95" customHeight="1" x14ac:dyDescent="0.2">
      <c r="B15" s="79" t="s">
        <v>1</v>
      </c>
      <c r="C15" s="79" t="s">
        <v>2</v>
      </c>
      <c r="D15" s="139" t="s">
        <v>3</v>
      </c>
      <c r="E15" s="82" t="s">
        <v>4</v>
      </c>
      <c r="F15" s="82" t="s">
        <v>5</v>
      </c>
      <c r="G15" s="82" t="s">
        <v>6</v>
      </c>
      <c r="H15" s="82" t="s">
        <v>14</v>
      </c>
      <c r="I15" s="81" t="s">
        <v>0</v>
      </c>
      <c r="K15" s="100"/>
      <c r="L15" s="100"/>
      <c r="M15" s="100"/>
      <c r="N15" s="100"/>
      <c r="O15" s="100"/>
      <c r="R15" s="79"/>
      <c r="S15" s="79"/>
    </row>
    <row r="16" spans="1:19" s="118" customFormat="1" ht="15.75" customHeight="1" x14ac:dyDescent="0.2">
      <c r="A16" s="119" t="s">
        <v>124</v>
      </c>
      <c r="B16" s="118" t="s">
        <v>8</v>
      </c>
      <c r="C16" s="118" t="s">
        <v>118</v>
      </c>
      <c r="D16" s="121" t="s">
        <v>125</v>
      </c>
      <c r="E16" s="140">
        <f>44.28+37.54</f>
        <v>81.819999999999993</v>
      </c>
      <c r="F16" s="141">
        <f>9356-8604</f>
        <v>752</v>
      </c>
      <c r="G16" s="124">
        <f>ROUND(E16*F16,2)</f>
        <v>61528.639999999999</v>
      </c>
      <c r="H16" s="124">
        <f>ROUND(G16*0.15,2)</f>
        <v>9229.2999999999993</v>
      </c>
      <c r="I16" s="125">
        <f>ROUND(G16+H16,0)</f>
        <v>70758</v>
      </c>
      <c r="J16" s="142"/>
      <c r="K16" s="143"/>
      <c r="L16" s="127"/>
      <c r="N16" s="144"/>
      <c r="R16" s="74"/>
      <c r="S16" s="74"/>
    </row>
    <row r="17" spans="1:19" s="118" customFormat="1" ht="15.75" customHeight="1" x14ac:dyDescent="0.2">
      <c r="A17" s="119" t="s">
        <v>124</v>
      </c>
      <c r="B17" s="118" t="s">
        <v>8</v>
      </c>
      <c r="C17" s="118" t="s">
        <v>120</v>
      </c>
      <c r="D17" s="121" t="s">
        <v>125</v>
      </c>
      <c r="E17" s="140">
        <f>45.73+39.81</f>
        <v>85.539999999999992</v>
      </c>
      <c r="F17" s="141">
        <f>10820-9356</f>
        <v>1464</v>
      </c>
      <c r="G17" s="124">
        <f>ROUND(E17*F17,2)</f>
        <v>125230.56</v>
      </c>
      <c r="H17" s="124">
        <f>ROUND(G17*0.1,2)+1575</f>
        <v>14098.06</v>
      </c>
      <c r="I17" s="125">
        <f>ROUND(G17+H17,0)</f>
        <v>139329</v>
      </c>
      <c r="J17" s="142"/>
      <c r="K17" s="143"/>
      <c r="L17" s="127"/>
      <c r="N17" s="144"/>
      <c r="R17" s="74"/>
      <c r="S17" s="74"/>
    </row>
    <row r="18" spans="1:19" s="15" customFormat="1" ht="15.75" customHeight="1" thickBot="1" x14ac:dyDescent="0.25">
      <c r="A18" s="14"/>
      <c r="B18" s="15" t="s">
        <v>0</v>
      </c>
      <c r="D18" s="16"/>
      <c r="E18" s="17">
        <f>ROUND(I18/F18,2)</f>
        <v>94.8</v>
      </c>
      <c r="F18" s="18">
        <f>SUM(F16:F17)</f>
        <v>2216</v>
      </c>
      <c r="G18" s="19">
        <f>SUM(G16:G17)</f>
        <v>186759.2</v>
      </c>
      <c r="H18" s="19">
        <f>SUM(H16:H17)</f>
        <v>23327.360000000001</v>
      </c>
      <c r="I18" s="30">
        <f>SUM(I16:I17)</f>
        <v>210087</v>
      </c>
      <c r="J18" s="19"/>
      <c r="N18" s="14"/>
      <c r="Q18" s="16"/>
      <c r="R18" s="16"/>
    </row>
    <row r="19" spans="1:19" ht="15.95" customHeight="1" thickTop="1" x14ac:dyDescent="0.2">
      <c r="D19" s="81"/>
      <c r="E19" s="98"/>
      <c r="F19" s="97"/>
      <c r="G19" s="101"/>
      <c r="H19" s="101"/>
      <c r="I19" s="101"/>
      <c r="L19" s="77"/>
      <c r="N19" s="79"/>
      <c r="O19" s="81"/>
      <c r="P19" s="81"/>
      <c r="R19" s="79"/>
      <c r="S19" s="79"/>
    </row>
    <row r="20" spans="1:19" s="5" customFormat="1" ht="15.75" customHeight="1" x14ac:dyDescent="0.25">
      <c r="A20" s="2"/>
      <c r="B20" s="3" t="s">
        <v>36</v>
      </c>
      <c r="C20" s="4"/>
      <c r="E20" s="7"/>
      <c r="I20" s="237" t="s">
        <v>37</v>
      </c>
      <c r="J20" s="238"/>
      <c r="K20" s="239" t="s">
        <v>38</v>
      </c>
      <c r="L20" s="240"/>
      <c r="M20" s="75"/>
      <c r="N20" s="75"/>
    </row>
    <row r="21" spans="1:19" ht="15.95" customHeight="1" x14ac:dyDescent="0.2">
      <c r="A21" s="87"/>
      <c r="B21" s="79" t="s">
        <v>1</v>
      </c>
      <c r="D21" s="161" t="s">
        <v>39</v>
      </c>
      <c r="E21" s="162" t="s">
        <v>40</v>
      </c>
      <c r="F21" s="162" t="s">
        <v>41</v>
      </c>
      <c r="G21" s="162" t="s">
        <v>42</v>
      </c>
      <c r="H21" s="162" t="s">
        <v>43</v>
      </c>
      <c r="I21" s="163" t="s">
        <v>44</v>
      </c>
      <c r="J21" s="164" t="s">
        <v>45</v>
      </c>
      <c r="K21" s="171" t="s">
        <v>44</v>
      </c>
      <c r="L21" s="172" t="s">
        <v>45</v>
      </c>
      <c r="N21" s="81"/>
      <c r="O21" s="81"/>
      <c r="R21" s="79"/>
      <c r="S21" s="79"/>
    </row>
    <row r="22" spans="1:19" s="146" customFormat="1" ht="15.75" hidden="1" customHeight="1" outlineLevel="2" x14ac:dyDescent="0.2">
      <c r="A22" s="145"/>
      <c r="C22" s="147" t="s">
        <v>126</v>
      </c>
      <c r="D22" s="148"/>
      <c r="E22" s="148"/>
      <c r="F22" s="149"/>
      <c r="G22" s="149"/>
      <c r="H22" s="150">
        <f>SUM(J22:L22)</f>
        <v>0.41999999999999993</v>
      </c>
      <c r="I22" s="165"/>
      <c r="J22" s="165">
        <v>1.18</v>
      </c>
      <c r="K22" s="173"/>
      <c r="L22" s="173">
        <v>-0.76</v>
      </c>
    </row>
    <row r="23" spans="1:19" s="152" customFormat="1" ht="15.75" hidden="1" customHeight="1" collapsed="1" x14ac:dyDescent="0.2">
      <c r="A23" s="151" t="s">
        <v>127</v>
      </c>
      <c r="B23" s="31">
        <v>101566</v>
      </c>
      <c r="C23" s="152" t="s">
        <v>46</v>
      </c>
      <c r="D23" s="153">
        <v>532</v>
      </c>
      <c r="E23" s="32">
        <v>77.66</v>
      </c>
      <c r="F23" s="32">
        <f>ROUND(D23*E23,2)</f>
        <v>41315.120000000003</v>
      </c>
      <c r="G23" s="32">
        <f>ROUND(F23*0.1,2)</f>
        <v>4131.51</v>
      </c>
      <c r="H23" s="32">
        <f>ROUND(SUM(F23:G23),2)</f>
        <v>45446.63</v>
      </c>
      <c r="I23" s="166"/>
      <c r="J23" s="167"/>
      <c r="K23" s="174"/>
      <c r="L23" s="175"/>
      <c r="M23" s="32"/>
      <c r="N23" s="32"/>
      <c r="O23" s="75"/>
    </row>
    <row r="24" spans="1:19" s="152" customFormat="1" ht="15.75" hidden="1" customHeight="1" x14ac:dyDescent="0.2">
      <c r="A24" s="151"/>
      <c r="B24" s="154">
        <v>43831</v>
      </c>
      <c r="C24" s="152" t="s">
        <v>47</v>
      </c>
      <c r="D24" s="153">
        <f>ROUND((1049-695)-SUM(D25:D26),3)</f>
        <v>108.152</v>
      </c>
      <c r="E24" s="32">
        <v>320.45999999999998</v>
      </c>
      <c r="F24" s="32">
        <f>ROUND(D24*E24,2)</f>
        <v>34658.39</v>
      </c>
      <c r="G24" s="32">
        <f t="shared" ref="G24:G26" si="2">ROUND(F24*0.1,2)</f>
        <v>3465.84</v>
      </c>
      <c r="H24" s="32">
        <f>ROUND(SUM(F24:G24),2)</f>
        <v>38124.230000000003</v>
      </c>
      <c r="I24" s="166"/>
      <c r="J24" s="167"/>
      <c r="K24" s="174"/>
      <c r="L24" s="175"/>
      <c r="N24" s="75"/>
      <c r="O24" s="75"/>
    </row>
    <row r="25" spans="1:19" s="152" customFormat="1" ht="15.75" hidden="1" customHeight="1" x14ac:dyDescent="0.2">
      <c r="A25" s="151"/>
      <c r="C25" s="152" t="s">
        <v>48</v>
      </c>
      <c r="D25" s="153">
        <f>ROUND((43.736-40.445)*3.6,3)</f>
        <v>11.848000000000001</v>
      </c>
      <c r="E25" s="32">
        <v>320.45999999999998</v>
      </c>
      <c r="F25" s="32">
        <f>ROUND(D25*E25,2)</f>
        <v>3796.81</v>
      </c>
      <c r="G25" s="32">
        <f t="shared" si="2"/>
        <v>379.68</v>
      </c>
      <c r="H25" s="32">
        <f>ROUND(SUM(F25:G25),2)</f>
        <v>4176.49</v>
      </c>
      <c r="I25" s="166"/>
      <c r="J25" s="167"/>
      <c r="K25" s="174"/>
      <c r="L25" s="175"/>
      <c r="N25" s="75"/>
      <c r="O25" s="75"/>
    </row>
    <row r="26" spans="1:19" s="152" customFormat="1" ht="15.75" hidden="1" customHeight="1" x14ac:dyDescent="0.2">
      <c r="A26" s="151"/>
      <c r="C26" s="152" t="s">
        <v>49</v>
      </c>
      <c r="D26" s="153">
        <f>(1625-1560)*3.6</f>
        <v>234</v>
      </c>
      <c r="E26" s="32">
        <v>320.45999999999998</v>
      </c>
      <c r="F26" s="32">
        <f>ROUND(D26*E26,2)</f>
        <v>74987.64</v>
      </c>
      <c r="G26" s="32">
        <f t="shared" si="2"/>
        <v>7498.76</v>
      </c>
      <c r="H26" s="32">
        <f>ROUND(SUM(F26:G26),2)</f>
        <v>82486.399999999994</v>
      </c>
      <c r="I26" s="166"/>
      <c r="J26" s="167"/>
      <c r="K26" s="174"/>
      <c r="L26" s="175"/>
      <c r="N26" s="75"/>
      <c r="O26" s="75"/>
    </row>
    <row r="27" spans="1:19" s="152" customFormat="1" ht="15.75" hidden="1" customHeight="1" x14ac:dyDescent="0.2">
      <c r="A27" s="151"/>
      <c r="C27" s="152" t="s">
        <v>50</v>
      </c>
      <c r="D27" s="153">
        <f>D28</f>
        <v>354</v>
      </c>
      <c r="E27" s="32">
        <v>87.5</v>
      </c>
      <c r="F27" s="32">
        <f>ROUND(D27*E27,2)</f>
        <v>30975</v>
      </c>
      <c r="G27" s="32">
        <f>ROUND(F27*0.1,2)+0.01</f>
        <v>3097.51</v>
      </c>
      <c r="H27" s="32">
        <f>ROUND(SUM(F27:G27),2)</f>
        <v>34072.51</v>
      </c>
      <c r="I27" s="166"/>
      <c r="J27" s="168"/>
      <c r="K27" s="176"/>
      <c r="L27" s="177"/>
      <c r="N27" s="75"/>
      <c r="O27" s="75"/>
    </row>
    <row r="28" spans="1:19" s="8" customFormat="1" ht="15.75" hidden="1" customHeight="1" x14ac:dyDescent="0.2">
      <c r="A28" s="155"/>
      <c r="B28" s="156"/>
      <c r="C28" s="156"/>
      <c r="D28" s="157">
        <f>SUM(D24:D26)</f>
        <v>354</v>
      </c>
      <c r="E28" s="158"/>
      <c r="F28" s="158">
        <f>SUM(F23:F27)</f>
        <v>185732.96000000002</v>
      </c>
      <c r="G28" s="158">
        <f>SUM(G23:G27)</f>
        <v>18573.300000000003</v>
      </c>
      <c r="H28" s="158">
        <f>SUM(H23:H27)</f>
        <v>204306.26</v>
      </c>
      <c r="I28" s="169">
        <f>SUM(D25:D26)</f>
        <v>245.84800000000001</v>
      </c>
      <c r="J28" s="170">
        <f>ROUND(H28/D28*I28,2)</f>
        <v>141887.81</v>
      </c>
      <c r="K28" s="178">
        <f>D24</f>
        <v>108.152</v>
      </c>
      <c r="L28" s="179">
        <f>ROUND(H28/D28*K28,2)</f>
        <v>62418.45</v>
      </c>
      <c r="M28" s="159"/>
      <c r="N28" s="159"/>
      <c r="O28" s="7"/>
    </row>
    <row r="29" spans="1:19" s="152" customFormat="1" ht="15.75" hidden="1" customHeight="1" x14ac:dyDescent="0.2">
      <c r="A29" s="151" t="s">
        <v>128</v>
      </c>
      <c r="B29" s="31">
        <v>1015187</v>
      </c>
      <c r="C29" s="152" t="s">
        <v>46</v>
      </c>
      <c r="D29" s="153">
        <v>532</v>
      </c>
      <c r="E29" s="32">
        <v>77.66</v>
      </c>
      <c r="F29" s="32">
        <f>ROUND(D29*E29,2)</f>
        <v>41315.120000000003</v>
      </c>
      <c r="G29" s="32">
        <f>ROUND(F29*0.1,2)</f>
        <v>4131.51</v>
      </c>
      <c r="H29" s="32">
        <f>ROUND(SUM(F29:G29),2)</f>
        <v>45446.63</v>
      </c>
      <c r="I29" s="166"/>
      <c r="J29" s="167"/>
      <c r="K29" s="174"/>
      <c r="L29" s="175"/>
      <c r="M29" s="32"/>
      <c r="N29" s="32"/>
      <c r="O29" s="75"/>
    </row>
    <row r="30" spans="1:19" s="152" customFormat="1" ht="15.75" hidden="1" customHeight="1" x14ac:dyDescent="0.2">
      <c r="A30" s="151"/>
      <c r="B30" s="154">
        <v>43862</v>
      </c>
      <c r="C30" s="152" t="s">
        <v>47</v>
      </c>
      <c r="D30" s="153">
        <f>ROUND((1309-1049)-SUM(D31:D32),3)</f>
        <v>82.257000000000005</v>
      </c>
      <c r="E30" s="32">
        <v>320.45999999999998</v>
      </c>
      <c r="F30" s="32">
        <f>ROUND(D30*E30,2)</f>
        <v>26360.080000000002</v>
      </c>
      <c r="G30" s="32">
        <f t="shared" ref="G30:G31" si="3">ROUND(F30*0.1,2)</f>
        <v>2636.01</v>
      </c>
      <c r="H30" s="32">
        <f>ROUND(SUM(F30:G30),2)</f>
        <v>28996.09</v>
      </c>
      <c r="I30" s="166"/>
      <c r="J30" s="167"/>
      <c r="K30" s="174"/>
      <c r="L30" s="175"/>
      <c r="N30" s="75"/>
      <c r="O30" s="75"/>
    </row>
    <row r="31" spans="1:19" s="152" customFormat="1" ht="15.75" hidden="1" customHeight="1" x14ac:dyDescent="0.2">
      <c r="A31" s="151"/>
      <c r="C31" s="152" t="s">
        <v>48</v>
      </c>
      <c r="D31" s="153">
        <f>ROUND((46.109-43.736)*3.6,3)</f>
        <v>8.5429999999999993</v>
      </c>
      <c r="E31" s="32">
        <v>320.45999999999998</v>
      </c>
      <c r="F31" s="32">
        <f>ROUND(D31*E31,2)</f>
        <v>2737.69</v>
      </c>
      <c r="G31" s="32">
        <f t="shared" si="3"/>
        <v>273.77</v>
      </c>
      <c r="H31" s="32">
        <f>ROUND(SUM(F31:G31),2)</f>
        <v>3011.46</v>
      </c>
      <c r="I31" s="166"/>
      <c r="J31" s="167"/>
      <c r="K31" s="174"/>
      <c r="L31" s="175"/>
      <c r="N31" s="75"/>
      <c r="O31" s="75"/>
    </row>
    <row r="32" spans="1:19" s="152" customFormat="1" ht="15.75" hidden="1" customHeight="1" x14ac:dyDescent="0.2">
      <c r="A32" s="151"/>
      <c r="C32" s="152" t="s">
        <v>49</v>
      </c>
      <c r="D32" s="153">
        <f>(1672-1625)*3.6</f>
        <v>169.20000000000002</v>
      </c>
      <c r="E32" s="32">
        <v>320.45999999999998</v>
      </c>
      <c r="F32" s="32">
        <f>ROUND(D32*E32,2)</f>
        <v>54221.83</v>
      </c>
      <c r="G32" s="32">
        <f>ROUND(F32*0.1,2)+0.01</f>
        <v>5422.1900000000005</v>
      </c>
      <c r="H32" s="32">
        <f>ROUND(SUM(F32:G32),2)</f>
        <v>59644.02</v>
      </c>
      <c r="I32" s="166"/>
      <c r="J32" s="167"/>
      <c r="K32" s="174"/>
      <c r="L32" s="175"/>
      <c r="N32" s="75"/>
      <c r="O32" s="75"/>
    </row>
    <row r="33" spans="1:15" s="152" customFormat="1" ht="15.75" hidden="1" customHeight="1" x14ac:dyDescent="0.2">
      <c r="A33" s="151"/>
      <c r="C33" s="152" t="s">
        <v>50</v>
      </c>
      <c r="D33" s="153">
        <f>D34</f>
        <v>260</v>
      </c>
      <c r="E33" s="32">
        <v>87.5</v>
      </c>
      <c r="F33" s="32">
        <f>ROUND(D33*E33,2)</f>
        <v>22750</v>
      </c>
      <c r="G33" s="32">
        <f>ROUND(F33*0.1,2)-0.01</f>
        <v>2274.9899999999998</v>
      </c>
      <c r="H33" s="32">
        <f>ROUND(SUM(F33:G33),2)</f>
        <v>25024.99</v>
      </c>
      <c r="I33" s="166"/>
      <c r="J33" s="168"/>
      <c r="K33" s="176"/>
      <c r="L33" s="177"/>
      <c r="N33" s="75"/>
      <c r="O33" s="75"/>
    </row>
    <row r="34" spans="1:15" s="8" customFormat="1" ht="15.75" hidden="1" customHeight="1" x14ac:dyDescent="0.2">
      <c r="A34" s="155"/>
      <c r="B34" s="156"/>
      <c r="C34" s="156"/>
      <c r="D34" s="157">
        <f>SUM(D30:D32)</f>
        <v>260</v>
      </c>
      <c r="E34" s="158"/>
      <c r="F34" s="158">
        <f>SUM(F29:F33)</f>
        <v>147384.72000000003</v>
      </c>
      <c r="G34" s="158">
        <f>SUM(G29:G33)</f>
        <v>14738.470000000001</v>
      </c>
      <c r="H34" s="158">
        <f>SUM(H29:H33)</f>
        <v>162123.19</v>
      </c>
      <c r="I34" s="169">
        <f>SUM(D31:D32)</f>
        <v>177.74300000000002</v>
      </c>
      <c r="J34" s="170">
        <f>ROUND(H34/D34*I34,2)</f>
        <v>110831.78</v>
      </c>
      <c r="K34" s="178">
        <f>D30</f>
        <v>82.257000000000005</v>
      </c>
      <c r="L34" s="179">
        <f>ROUND(H34/D34*K34,2)</f>
        <v>51291.41</v>
      </c>
      <c r="M34" s="159"/>
      <c r="N34" s="159"/>
      <c r="O34" s="7"/>
    </row>
    <row r="35" spans="1:15" s="152" customFormat="1" ht="15.75" hidden="1" customHeight="1" x14ac:dyDescent="0.2">
      <c r="A35" s="151" t="s">
        <v>129</v>
      </c>
      <c r="B35" s="31">
        <v>1015307</v>
      </c>
      <c r="C35" s="152" t="s">
        <v>46</v>
      </c>
      <c r="D35" s="153">
        <v>532</v>
      </c>
      <c r="E35" s="32">
        <v>77.66</v>
      </c>
      <c r="F35" s="32">
        <f>ROUND(D35*E35,2)</f>
        <v>41315.120000000003</v>
      </c>
      <c r="G35" s="32">
        <f>ROUND(F35*0.1,2)</f>
        <v>4131.51</v>
      </c>
      <c r="H35" s="32">
        <f>ROUND(SUM(F35:G35),2)</f>
        <v>45446.63</v>
      </c>
      <c r="I35" s="166"/>
      <c r="J35" s="167"/>
      <c r="K35" s="174"/>
      <c r="L35" s="175"/>
      <c r="M35" s="32"/>
      <c r="N35" s="32"/>
      <c r="O35" s="75"/>
    </row>
    <row r="36" spans="1:15" s="152" customFormat="1" ht="15.75" hidden="1" customHeight="1" x14ac:dyDescent="0.2">
      <c r="A36" s="151"/>
      <c r="B36" s="154">
        <v>43525</v>
      </c>
      <c r="C36" s="152" t="s">
        <v>47</v>
      </c>
      <c r="D36" s="153">
        <f>ROUND((1608-1309)-SUM(D37:D38),3)</f>
        <v>111.681</v>
      </c>
      <c r="E36" s="32">
        <v>320.45999999999998</v>
      </c>
      <c r="F36" s="32">
        <f>ROUND(D36*E36,2)</f>
        <v>35789.29</v>
      </c>
      <c r="G36" s="32">
        <f t="shared" ref="G36" si="4">ROUND(F36*0.1,2)</f>
        <v>3578.93</v>
      </c>
      <c r="H36" s="32">
        <f>ROUND(SUM(F36:G36),2)</f>
        <v>39368.22</v>
      </c>
      <c r="I36" s="166"/>
      <c r="J36" s="167"/>
      <c r="K36" s="174"/>
      <c r="L36" s="175"/>
      <c r="N36" s="75"/>
      <c r="O36" s="75"/>
    </row>
    <row r="37" spans="1:15" s="152" customFormat="1" ht="15.75" hidden="1" customHeight="1" x14ac:dyDescent="0.2">
      <c r="A37" s="151"/>
      <c r="C37" s="152" t="s">
        <v>48</v>
      </c>
      <c r="D37" s="153">
        <f>ROUND((48.142-46.109)*3.6,3)</f>
        <v>7.319</v>
      </c>
      <c r="E37" s="32">
        <v>320.45999999999998</v>
      </c>
      <c r="F37" s="32">
        <f>ROUND(D37*E37,2)</f>
        <v>2345.4499999999998</v>
      </c>
      <c r="G37" s="32">
        <f>ROUND(F37*0.1,2)-0.01</f>
        <v>234.54000000000002</v>
      </c>
      <c r="H37" s="32">
        <f>ROUND(SUM(F37:G37),2)</f>
        <v>2579.9899999999998</v>
      </c>
      <c r="I37" s="166"/>
      <c r="J37" s="167"/>
      <c r="K37" s="174"/>
      <c r="L37" s="175"/>
      <c r="N37" s="75"/>
      <c r="O37" s="75"/>
    </row>
    <row r="38" spans="1:15" s="152" customFormat="1" ht="15.75" hidden="1" customHeight="1" x14ac:dyDescent="0.2">
      <c r="A38" s="151"/>
      <c r="C38" s="152" t="s">
        <v>49</v>
      </c>
      <c r="D38" s="153">
        <f>(1722-1672)*3.6</f>
        <v>180</v>
      </c>
      <c r="E38" s="32">
        <v>320.45999999999998</v>
      </c>
      <c r="F38" s="32">
        <f>ROUND(D38*E38,2)</f>
        <v>57682.8</v>
      </c>
      <c r="G38" s="32">
        <f>ROUND(F38*0.1,2)</f>
        <v>5768.28</v>
      </c>
      <c r="H38" s="32">
        <f>ROUND(SUM(F38:G38),2)</f>
        <v>63451.08</v>
      </c>
      <c r="I38" s="166"/>
      <c r="J38" s="167"/>
      <c r="K38" s="174"/>
      <c r="L38" s="175"/>
      <c r="N38" s="75"/>
      <c r="O38" s="75"/>
    </row>
    <row r="39" spans="1:15" s="152" customFormat="1" ht="15.75" hidden="1" customHeight="1" x14ac:dyDescent="0.2">
      <c r="A39" s="151"/>
      <c r="C39" s="152" t="s">
        <v>50</v>
      </c>
      <c r="D39" s="153">
        <f>D40</f>
        <v>299</v>
      </c>
      <c r="E39" s="32">
        <v>87.5</v>
      </c>
      <c r="F39" s="32">
        <f>ROUND(D39*E39,2)</f>
        <v>26162.5</v>
      </c>
      <c r="G39" s="32">
        <f>ROUND(F39*0.1,2)+0.01</f>
        <v>2616.2600000000002</v>
      </c>
      <c r="H39" s="32">
        <f>ROUND(SUM(F39:G39),2)</f>
        <v>28778.76</v>
      </c>
      <c r="I39" s="166"/>
      <c r="J39" s="168"/>
      <c r="K39" s="176"/>
      <c r="L39" s="177"/>
      <c r="N39" s="75"/>
      <c r="O39" s="75"/>
    </row>
    <row r="40" spans="1:15" s="8" customFormat="1" ht="15.75" hidden="1" customHeight="1" x14ac:dyDescent="0.2">
      <c r="A40" s="155"/>
      <c r="B40" s="156"/>
      <c r="C40" s="156"/>
      <c r="D40" s="157">
        <f>SUM(D36:D38)</f>
        <v>299</v>
      </c>
      <c r="E40" s="158"/>
      <c r="F40" s="158">
        <f>SUM(F35:F39)</f>
        <v>163295.16</v>
      </c>
      <c r="G40" s="158">
        <f>SUM(G35:G39)</f>
        <v>16329.52</v>
      </c>
      <c r="H40" s="158">
        <f>SUM(H35:H39)</f>
        <v>179624.68000000002</v>
      </c>
      <c r="I40" s="169">
        <f>SUM(D37:D38)</f>
        <v>187.31899999999999</v>
      </c>
      <c r="J40" s="170">
        <f>ROUND(H40/D40*I40,2)</f>
        <v>112532.16</v>
      </c>
      <c r="K40" s="178">
        <f>D36</f>
        <v>111.681</v>
      </c>
      <c r="L40" s="179">
        <f>ROUND(H40/D40*K40,2)</f>
        <v>67092.52</v>
      </c>
      <c r="M40" s="159"/>
      <c r="N40" s="159"/>
      <c r="O40" s="7"/>
    </row>
    <row r="41" spans="1:15" s="152" customFormat="1" ht="15.75" hidden="1" customHeight="1" x14ac:dyDescent="0.2">
      <c r="A41" s="151" t="s">
        <v>130</v>
      </c>
      <c r="B41" s="31">
        <v>1015420</v>
      </c>
      <c r="C41" s="152" t="s">
        <v>46</v>
      </c>
      <c r="D41" s="153">
        <v>532</v>
      </c>
      <c r="E41" s="32">
        <v>77.66</v>
      </c>
      <c r="F41" s="32">
        <f>ROUND(D41*E41,2)</f>
        <v>41315.120000000003</v>
      </c>
      <c r="G41" s="32">
        <f>ROUND(F41*0.1,2)</f>
        <v>4131.51</v>
      </c>
      <c r="H41" s="32">
        <f>ROUND(SUM(F41:G41),2)</f>
        <v>45446.63</v>
      </c>
      <c r="I41" s="166"/>
      <c r="J41" s="167"/>
      <c r="K41" s="174"/>
      <c r="L41" s="175"/>
      <c r="M41" s="32"/>
      <c r="N41" s="32"/>
      <c r="O41" s="75"/>
    </row>
    <row r="42" spans="1:15" s="152" customFormat="1" ht="15.75" hidden="1" customHeight="1" x14ac:dyDescent="0.2">
      <c r="A42" s="151"/>
      <c r="B42" s="154">
        <v>43922</v>
      </c>
      <c r="C42" s="152" t="s">
        <v>47</v>
      </c>
      <c r="D42" s="153">
        <f>ROUND((1746-1608)-SUM(D43:D44),3)</f>
        <v>81.587999999999994</v>
      </c>
      <c r="E42" s="32">
        <v>320.45999999999998</v>
      </c>
      <c r="F42" s="32">
        <f>ROUND(D42*E42,2)</f>
        <v>26145.69</v>
      </c>
      <c r="G42" s="32">
        <f t="shared" ref="G42" si="5">ROUND(F42*0.1,2)</f>
        <v>2614.5700000000002</v>
      </c>
      <c r="H42" s="32">
        <f>ROUND(SUM(F42:G42),2)</f>
        <v>28760.26</v>
      </c>
      <c r="I42" s="166"/>
      <c r="J42" s="167"/>
      <c r="K42" s="174"/>
      <c r="L42" s="175"/>
      <c r="N42" s="75"/>
      <c r="O42" s="75"/>
    </row>
    <row r="43" spans="1:15" s="152" customFormat="1" ht="15.75" hidden="1" customHeight="1" x14ac:dyDescent="0.2">
      <c r="A43" s="151"/>
      <c r="C43" s="152" t="s">
        <v>48</v>
      </c>
      <c r="D43" s="153">
        <f>ROUND((48.812-48.142)*3.6,3)</f>
        <v>2.4119999999999999</v>
      </c>
      <c r="E43" s="32">
        <v>320.45999999999998</v>
      </c>
      <c r="F43" s="32">
        <f>ROUND(D43*E43,2)</f>
        <v>772.95</v>
      </c>
      <c r="G43" s="32">
        <f>ROUND(F43*0.1,2)-0.01</f>
        <v>77.289999999999992</v>
      </c>
      <c r="H43" s="32">
        <f>ROUND(SUM(F43:G43),2)</f>
        <v>850.24</v>
      </c>
      <c r="I43" s="166"/>
      <c r="J43" s="167"/>
      <c r="K43" s="174"/>
      <c r="L43" s="175"/>
      <c r="N43" s="75"/>
      <c r="O43" s="75"/>
    </row>
    <row r="44" spans="1:15" s="152" customFormat="1" ht="15.75" hidden="1" customHeight="1" x14ac:dyDescent="0.2">
      <c r="A44" s="151"/>
      <c r="C44" s="152" t="s">
        <v>49</v>
      </c>
      <c r="D44" s="153">
        <f>(1737-1722)*3.6</f>
        <v>54</v>
      </c>
      <c r="E44" s="32">
        <v>320.45999999999998</v>
      </c>
      <c r="F44" s="32">
        <f>ROUND(D44*E44,2)</f>
        <v>17304.84</v>
      </c>
      <c r="G44" s="32">
        <f>ROUND(F44*0.1,2)</f>
        <v>1730.48</v>
      </c>
      <c r="H44" s="32">
        <f>ROUND(SUM(F44:G44),2)</f>
        <v>19035.32</v>
      </c>
      <c r="I44" s="166"/>
      <c r="J44" s="167"/>
      <c r="K44" s="174"/>
      <c r="L44" s="175"/>
      <c r="N44" s="75"/>
      <c r="O44" s="75"/>
    </row>
    <row r="45" spans="1:15" s="152" customFormat="1" ht="15.75" hidden="1" customHeight="1" x14ac:dyDescent="0.2">
      <c r="A45" s="151"/>
      <c r="C45" s="152" t="s">
        <v>50</v>
      </c>
      <c r="D45" s="153">
        <f>D46</f>
        <v>138</v>
      </c>
      <c r="E45" s="32">
        <v>87.5</v>
      </c>
      <c r="F45" s="32">
        <f>ROUND(D45*E45,2)</f>
        <v>12075</v>
      </c>
      <c r="G45" s="32">
        <f>ROUND(F45*0.1,2)+0.01</f>
        <v>1207.51</v>
      </c>
      <c r="H45" s="32">
        <f>ROUND(SUM(F45:G45),2)</f>
        <v>13282.51</v>
      </c>
      <c r="I45" s="166"/>
      <c r="J45" s="168"/>
      <c r="K45" s="176"/>
      <c r="L45" s="177"/>
      <c r="N45" s="75"/>
      <c r="O45" s="75"/>
    </row>
    <row r="46" spans="1:15" s="8" customFormat="1" ht="15.75" hidden="1" customHeight="1" x14ac:dyDescent="0.2">
      <c r="A46" s="155"/>
      <c r="B46" s="156"/>
      <c r="C46" s="156"/>
      <c r="D46" s="157">
        <f>SUM(D42:D44)</f>
        <v>138</v>
      </c>
      <c r="E46" s="158"/>
      <c r="F46" s="158">
        <f>SUM(F41:F45)</f>
        <v>97613.599999999991</v>
      </c>
      <c r="G46" s="158">
        <f>SUM(G41:G45)</f>
        <v>9761.36</v>
      </c>
      <c r="H46" s="158">
        <f>SUM(H41:H45)</f>
        <v>107374.96</v>
      </c>
      <c r="I46" s="169">
        <f>SUM(D43:D44)</f>
        <v>56.411999999999999</v>
      </c>
      <c r="J46" s="170">
        <f>ROUND(H46/D46*I46,2)</f>
        <v>43893.02</v>
      </c>
      <c r="K46" s="178">
        <f>D42</f>
        <v>81.587999999999994</v>
      </c>
      <c r="L46" s="179">
        <f>ROUND(H46/D46*K46,2)</f>
        <v>63481.94</v>
      </c>
      <c r="M46" s="159"/>
      <c r="N46" s="159"/>
      <c r="O46" s="7"/>
    </row>
    <row r="47" spans="1:15" s="152" customFormat="1" ht="15.75" hidden="1" customHeight="1" x14ac:dyDescent="0.2">
      <c r="A47" s="151" t="s">
        <v>131</v>
      </c>
      <c r="B47" s="31">
        <v>1015532</v>
      </c>
      <c r="C47" s="152" t="s">
        <v>46</v>
      </c>
      <c r="D47" s="153">
        <v>532</v>
      </c>
      <c r="E47" s="32">
        <v>77.66</v>
      </c>
      <c r="F47" s="32">
        <f>ROUND(D47*E47,2)</f>
        <v>41315.120000000003</v>
      </c>
      <c r="G47" s="32">
        <f>ROUND(F47*0.1,2)</f>
        <v>4131.51</v>
      </c>
      <c r="H47" s="32">
        <f>ROUND(SUM(F47:G47),2)</f>
        <v>45446.63</v>
      </c>
      <c r="I47" s="166"/>
      <c r="J47" s="167"/>
      <c r="K47" s="174"/>
      <c r="L47" s="175"/>
      <c r="M47" s="32"/>
      <c r="N47" s="32"/>
      <c r="O47" s="75"/>
    </row>
    <row r="48" spans="1:15" s="152" customFormat="1" ht="15.75" hidden="1" customHeight="1" x14ac:dyDescent="0.2">
      <c r="A48" s="151"/>
      <c r="B48" s="154">
        <v>43952</v>
      </c>
      <c r="C48" s="152" t="s">
        <v>47</v>
      </c>
      <c r="D48" s="153">
        <f>ROUND((1861-1746)-SUM(D49:D50),3)</f>
        <v>81.941000000000003</v>
      </c>
      <c r="E48" s="32">
        <v>320.45999999999998</v>
      </c>
      <c r="F48" s="32">
        <f>ROUND(D48*E48,2)</f>
        <v>26258.81</v>
      </c>
      <c r="G48" s="32">
        <f t="shared" ref="G48" si="6">ROUND(F48*0.1,2)</f>
        <v>2625.88</v>
      </c>
      <c r="H48" s="32">
        <f>ROUND(SUM(F48:G48),2)</f>
        <v>28884.69</v>
      </c>
      <c r="I48" s="166"/>
      <c r="J48" s="167"/>
      <c r="K48" s="174"/>
      <c r="L48" s="175"/>
      <c r="N48" s="75"/>
      <c r="O48" s="75"/>
    </row>
    <row r="49" spans="1:15" s="152" customFormat="1" ht="15.75" hidden="1" customHeight="1" x14ac:dyDescent="0.2">
      <c r="A49" s="151"/>
      <c r="C49" s="152" t="s">
        <v>48</v>
      </c>
      <c r="D49" s="153">
        <f>ROUND((48.995-48.812)*3.6,3)</f>
        <v>0.65900000000000003</v>
      </c>
      <c r="E49" s="32">
        <v>320.45999999999998</v>
      </c>
      <c r="F49" s="32">
        <f>ROUND(D49*E49,2)</f>
        <v>211.18</v>
      </c>
      <c r="G49" s="32">
        <f>ROUND(F49*0.1,2)</f>
        <v>21.12</v>
      </c>
      <c r="H49" s="32">
        <f>ROUND(SUM(F49:G49),2)</f>
        <v>232.3</v>
      </c>
      <c r="I49" s="166"/>
      <c r="J49" s="167"/>
      <c r="K49" s="174"/>
      <c r="L49" s="175"/>
      <c r="N49" s="75"/>
      <c r="O49" s="75"/>
    </row>
    <row r="50" spans="1:15" s="152" customFormat="1" ht="15.75" hidden="1" customHeight="1" x14ac:dyDescent="0.2">
      <c r="A50" s="151"/>
      <c r="C50" s="152" t="s">
        <v>49</v>
      </c>
      <c r="D50" s="153">
        <f>(1746-1737)*3.6</f>
        <v>32.4</v>
      </c>
      <c r="E50" s="32">
        <v>320.45999999999998</v>
      </c>
      <c r="F50" s="32">
        <f>ROUND(D50*E50,2)</f>
        <v>10382.9</v>
      </c>
      <c r="G50" s="32">
        <f>ROUND(F50*0.1,2)</f>
        <v>1038.29</v>
      </c>
      <c r="H50" s="32">
        <f>ROUND(SUM(F50:G50),2)</f>
        <v>11421.19</v>
      </c>
      <c r="I50" s="166"/>
      <c r="J50" s="167"/>
      <c r="K50" s="174"/>
      <c r="L50" s="175"/>
      <c r="N50" s="75"/>
      <c r="O50" s="75"/>
    </row>
    <row r="51" spans="1:15" s="152" customFormat="1" ht="15.75" hidden="1" customHeight="1" x14ac:dyDescent="0.2">
      <c r="A51" s="151"/>
      <c r="C51" s="152" t="s">
        <v>50</v>
      </c>
      <c r="D51" s="153">
        <f>D52</f>
        <v>115</v>
      </c>
      <c r="E51" s="32">
        <v>87.5</v>
      </c>
      <c r="F51" s="32">
        <f>ROUND(D51*E51,2)</f>
        <v>10062.5</v>
      </c>
      <c r="G51" s="32">
        <f>ROUND(F51*0.1,2)</f>
        <v>1006.25</v>
      </c>
      <c r="H51" s="32">
        <f>ROUND(SUM(F51:G51),2)</f>
        <v>11068.75</v>
      </c>
      <c r="I51" s="166"/>
      <c r="J51" s="168"/>
      <c r="K51" s="176"/>
      <c r="L51" s="177"/>
      <c r="N51" s="75"/>
      <c r="O51" s="75"/>
    </row>
    <row r="52" spans="1:15" s="8" customFormat="1" ht="15.75" hidden="1" customHeight="1" x14ac:dyDescent="0.2">
      <c r="A52" s="155"/>
      <c r="B52" s="156"/>
      <c r="C52" s="156"/>
      <c r="D52" s="157">
        <f>SUM(D48:D50)</f>
        <v>115</v>
      </c>
      <c r="E52" s="158"/>
      <c r="F52" s="158">
        <f>SUM(F47:F51)</f>
        <v>88230.51</v>
      </c>
      <c r="G52" s="158">
        <f>SUM(G47:G51)</f>
        <v>8823.0499999999993</v>
      </c>
      <c r="H52" s="158">
        <f>SUM(H47:H51)</f>
        <v>97053.56</v>
      </c>
      <c r="I52" s="169">
        <f>SUM(D49:D50)</f>
        <v>33.058999999999997</v>
      </c>
      <c r="J52" s="170">
        <f>ROUND(H52/D52*I52,2)</f>
        <v>27899.94</v>
      </c>
      <c r="K52" s="178">
        <f>D48</f>
        <v>81.941000000000003</v>
      </c>
      <c r="L52" s="179">
        <f>ROUND(H52/D52*K52,2)</f>
        <v>69153.62</v>
      </c>
      <c r="M52" s="159"/>
      <c r="N52" s="159"/>
      <c r="O52" s="7"/>
    </row>
    <row r="53" spans="1:15" s="152" customFormat="1" ht="15.75" hidden="1" customHeight="1" x14ac:dyDescent="0.2">
      <c r="A53" s="151" t="s">
        <v>132</v>
      </c>
      <c r="B53" s="31">
        <v>1015532</v>
      </c>
      <c r="C53" s="152" t="s">
        <v>46</v>
      </c>
      <c r="D53" s="153">
        <v>532</v>
      </c>
      <c r="E53" s="32">
        <v>77.66</v>
      </c>
      <c r="F53" s="32">
        <f>ROUND(D53*E53,2)</f>
        <v>41315.120000000003</v>
      </c>
      <c r="G53" s="32">
        <f>ROUND(F53*0.1,2)</f>
        <v>4131.51</v>
      </c>
      <c r="H53" s="32">
        <f>ROUND(SUM(F53:G53),2)</f>
        <v>45446.63</v>
      </c>
      <c r="I53" s="166"/>
      <c r="J53" s="167"/>
      <c r="K53" s="174"/>
      <c r="L53" s="175"/>
      <c r="M53" s="32"/>
      <c r="N53" s="32"/>
      <c r="O53" s="75"/>
    </row>
    <row r="54" spans="1:15" s="152" customFormat="1" ht="15.75" hidden="1" customHeight="1" x14ac:dyDescent="0.2">
      <c r="A54" s="151"/>
      <c r="B54" s="154">
        <v>43983</v>
      </c>
      <c r="C54" s="152" t="s">
        <v>47</v>
      </c>
      <c r="D54" s="153">
        <f>ROUND((1938-1861)-SUM(D55:D56),3)</f>
        <v>73.292000000000002</v>
      </c>
      <c r="E54" s="32">
        <v>320.45999999999998</v>
      </c>
      <c r="F54" s="32">
        <f>ROUND(D54*E54,2)</f>
        <v>23487.15</v>
      </c>
      <c r="G54" s="32">
        <f t="shared" ref="G54" si="7">ROUND(F54*0.1,2)</f>
        <v>2348.7199999999998</v>
      </c>
      <c r="H54" s="32">
        <f>ROUND(SUM(F54:G54),2)</f>
        <v>25835.87</v>
      </c>
      <c r="I54" s="166"/>
      <c r="J54" s="167"/>
      <c r="K54" s="174"/>
      <c r="L54" s="175"/>
      <c r="N54" s="75"/>
      <c r="O54" s="75"/>
    </row>
    <row r="55" spans="1:15" s="152" customFormat="1" ht="15.75" hidden="1" customHeight="1" x14ac:dyDescent="0.2">
      <c r="A55" s="151"/>
      <c r="C55" s="152" t="s">
        <v>48</v>
      </c>
      <c r="D55" s="153">
        <f>ROUND((49.025-48.995)*3.6,3)</f>
        <v>0.108</v>
      </c>
      <c r="E55" s="32">
        <v>320.45999999999998</v>
      </c>
      <c r="F55" s="32">
        <f>ROUND(D55*E55,2)</f>
        <v>34.61</v>
      </c>
      <c r="G55" s="32">
        <f>ROUND(F55*0.1,2)</f>
        <v>3.46</v>
      </c>
      <c r="H55" s="32">
        <f>ROUND(SUM(F55:G55),2)</f>
        <v>38.07</v>
      </c>
      <c r="I55" s="166"/>
      <c r="J55" s="167"/>
      <c r="K55" s="174"/>
      <c r="L55" s="175"/>
      <c r="N55" s="75"/>
      <c r="O55" s="75"/>
    </row>
    <row r="56" spans="1:15" s="152" customFormat="1" ht="15.75" hidden="1" customHeight="1" x14ac:dyDescent="0.2">
      <c r="A56" s="151"/>
      <c r="C56" s="152" t="s">
        <v>49</v>
      </c>
      <c r="D56" s="153">
        <f>(1747-1746)*3.6</f>
        <v>3.6</v>
      </c>
      <c r="E56" s="32">
        <v>320.45999999999998</v>
      </c>
      <c r="F56" s="32">
        <f>ROUND(D56*E56,2)</f>
        <v>1153.6600000000001</v>
      </c>
      <c r="G56" s="32">
        <f>ROUND(F56*0.1,2)-0.01</f>
        <v>115.36</v>
      </c>
      <c r="H56" s="32">
        <f>ROUND(SUM(F56:G56),2)</f>
        <v>1269.02</v>
      </c>
      <c r="I56" s="166"/>
      <c r="J56" s="167"/>
      <c r="K56" s="174"/>
      <c r="L56" s="175"/>
      <c r="N56" s="75"/>
      <c r="O56" s="75"/>
    </row>
    <row r="57" spans="1:15" s="152" customFormat="1" ht="15.75" hidden="1" customHeight="1" x14ac:dyDescent="0.2">
      <c r="A57" s="151"/>
      <c r="C57" s="152" t="s">
        <v>50</v>
      </c>
      <c r="D57" s="153">
        <f>D58</f>
        <v>77</v>
      </c>
      <c r="E57" s="32">
        <v>87.5</v>
      </c>
      <c r="F57" s="32">
        <f>ROUND(D57*E57,2)</f>
        <v>6737.5</v>
      </c>
      <c r="G57" s="32">
        <f>ROUND(F57*0.1,2)</f>
        <v>673.75</v>
      </c>
      <c r="H57" s="32">
        <f>ROUND(SUM(F57:G57),2)</f>
        <v>7411.25</v>
      </c>
      <c r="I57" s="166"/>
      <c r="J57" s="168"/>
      <c r="K57" s="176"/>
      <c r="L57" s="177"/>
      <c r="N57" s="75"/>
      <c r="O57" s="75"/>
    </row>
    <row r="58" spans="1:15" s="8" customFormat="1" ht="15.75" hidden="1" customHeight="1" x14ac:dyDescent="0.2">
      <c r="A58" s="155"/>
      <c r="B58" s="156"/>
      <c r="C58" s="156"/>
      <c r="D58" s="157">
        <f>SUM(D54:D56)</f>
        <v>77</v>
      </c>
      <c r="E58" s="158"/>
      <c r="F58" s="158">
        <f>SUM(F53:F57)</f>
        <v>72728.040000000008</v>
      </c>
      <c r="G58" s="158">
        <f>SUM(G53:G57)</f>
        <v>7272.7999999999993</v>
      </c>
      <c r="H58" s="158">
        <f>SUM(H53:H57)</f>
        <v>80000.840000000011</v>
      </c>
      <c r="I58" s="169">
        <f>SUM(D55:D56)</f>
        <v>3.7080000000000002</v>
      </c>
      <c r="J58" s="170">
        <f>ROUND(H58/D58*I58,2)</f>
        <v>3852.51</v>
      </c>
      <c r="K58" s="178">
        <f>D54</f>
        <v>73.292000000000002</v>
      </c>
      <c r="L58" s="179">
        <f>ROUND(H58/D58*K58,2)</f>
        <v>76148.33</v>
      </c>
      <c r="M58" s="159"/>
      <c r="N58" s="159"/>
      <c r="O58" s="7"/>
    </row>
    <row r="59" spans="1:15" s="152" customFormat="1" ht="15.75" hidden="1" customHeight="1" x14ac:dyDescent="0.2">
      <c r="A59" s="151" t="s">
        <v>133</v>
      </c>
      <c r="B59" s="31">
        <v>1015769</v>
      </c>
      <c r="C59" s="152" t="s">
        <v>46</v>
      </c>
      <c r="D59" s="153">
        <v>532</v>
      </c>
      <c r="E59" s="32">
        <v>77.66</v>
      </c>
      <c r="F59" s="32">
        <f>ROUND(D59*E59,2)</f>
        <v>41315.120000000003</v>
      </c>
      <c r="G59" s="32">
        <f>ROUND(F59*0.1,2)</f>
        <v>4131.51</v>
      </c>
      <c r="H59" s="32">
        <f>ROUND(SUM(F59:G59),2)</f>
        <v>45446.63</v>
      </c>
      <c r="I59" s="166"/>
      <c r="J59" s="167"/>
      <c r="K59" s="174"/>
      <c r="L59" s="175"/>
      <c r="M59" s="32"/>
      <c r="N59" s="32"/>
      <c r="O59" s="75"/>
    </row>
    <row r="60" spans="1:15" s="152" customFormat="1" ht="15.75" hidden="1" customHeight="1" x14ac:dyDescent="0.2">
      <c r="A60" s="151"/>
      <c r="B60" s="154">
        <v>44013</v>
      </c>
      <c r="C60" s="152" t="s">
        <v>47</v>
      </c>
      <c r="D60" s="153">
        <f>ROUND((2015-1938)-SUM(D61:D62),3)</f>
        <v>77</v>
      </c>
      <c r="E60" s="32">
        <v>320.45999999999998</v>
      </c>
      <c r="F60" s="32">
        <f>ROUND(D60*E60,2)</f>
        <v>24675.42</v>
      </c>
      <c r="G60" s="32">
        <f t="shared" ref="G60" si="8">ROUND(F60*0.1,2)</f>
        <v>2467.54</v>
      </c>
      <c r="H60" s="32">
        <f>ROUND(SUM(F60:G60),2)</f>
        <v>27142.959999999999</v>
      </c>
      <c r="I60" s="166"/>
      <c r="J60" s="167"/>
      <c r="K60" s="174"/>
      <c r="L60" s="175"/>
      <c r="N60" s="75"/>
      <c r="O60" s="75"/>
    </row>
    <row r="61" spans="1:15" s="152" customFormat="1" ht="15.75" hidden="1" customHeight="1" x14ac:dyDescent="0.2">
      <c r="A61" s="151"/>
      <c r="C61" s="152" t="s">
        <v>48</v>
      </c>
      <c r="D61" s="153">
        <f>ROUND((49.025-49.025)*3.6,3)</f>
        <v>0</v>
      </c>
      <c r="E61" s="32">
        <v>320.45999999999998</v>
      </c>
      <c r="F61" s="32">
        <f>ROUND(D61*E61,2)</f>
        <v>0</v>
      </c>
      <c r="G61" s="32">
        <f>ROUND(F61*0.1,2)</f>
        <v>0</v>
      </c>
      <c r="H61" s="32">
        <f>ROUND(SUM(F61:G61),2)</f>
        <v>0</v>
      </c>
      <c r="I61" s="166"/>
      <c r="J61" s="167"/>
      <c r="K61" s="174"/>
      <c r="L61" s="175"/>
      <c r="N61" s="75"/>
      <c r="O61" s="75"/>
    </row>
    <row r="62" spans="1:15" s="152" customFormat="1" ht="15.75" hidden="1" customHeight="1" x14ac:dyDescent="0.2">
      <c r="A62" s="151"/>
      <c r="C62" s="152" t="s">
        <v>49</v>
      </c>
      <c r="D62" s="153">
        <f>(1747-1747)*3.6</f>
        <v>0</v>
      </c>
      <c r="E62" s="32">
        <v>320.45999999999998</v>
      </c>
      <c r="F62" s="32">
        <f>ROUND(D62*E62,2)</f>
        <v>0</v>
      </c>
      <c r="G62" s="32">
        <f>ROUND(F62*0.1,2)</f>
        <v>0</v>
      </c>
      <c r="H62" s="32">
        <f>ROUND(SUM(F62:G62),2)</f>
        <v>0</v>
      </c>
      <c r="I62" s="166"/>
      <c r="J62" s="167"/>
      <c r="K62" s="174"/>
      <c r="L62" s="175"/>
      <c r="N62" s="75"/>
      <c r="O62" s="75"/>
    </row>
    <row r="63" spans="1:15" s="152" customFormat="1" ht="15.75" hidden="1" customHeight="1" x14ac:dyDescent="0.2">
      <c r="A63" s="151"/>
      <c r="C63" s="152" t="s">
        <v>50</v>
      </c>
      <c r="D63" s="153">
        <f>D64</f>
        <v>77</v>
      </c>
      <c r="E63" s="32">
        <v>87.5</v>
      </c>
      <c r="F63" s="32">
        <f>ROUND(D63*E63,2)</f>
        <v>6737.5</v>
      </c>
      <c r="G63" s="32">
        <f>ROUND(F63*0.1,2)</f>
        <v>673.75</v>
      </c>
      <c r="H63" s="32">
        <f>ROUND(SUM(F63:G63),2)</f>
        <v>7411.25</v>
      </c>
      <c r="I63" s="166"/>
      <c r="J63" s="168"/>
      <c r="K63" s="176"/>
      <c r="L63" s="177"/>
      <c r="N63" s="75"/>
      <c r="O63" s="75"/>
    </row>
    <row r="64" spans="1:15" s="8" customFormat="1" ht="15.75" hidden="1" customHeight="1" x14ac:dyDescent="0.2">
      <c r="A64" s="155"/>
      <c r="B64" s="156"/>
      <c r="C64" s="156"/>
      <c r="D64" s="157">
        <f>SUM(D60:D62)</f>
        <v>77</v>
      </c>
      <c r="E64" s="158"/>
      <c r="F64" s="158">
        <f>SUM(F59:F63)</f>
        <v>72728.040000000008</v>
      </c>
      <c r="G64" s="158">
        <f>SUM(G59:G63)</f>
        <v>7272.8</v>
      </c>
      <c r="H64" s="158">
        <f>SUM(H59:H63)</f>
        <v>80000.84</v>
      </c>
      <c r="I64" s="169">
        <f>SUM(D61:D62)</f>
        <v>0</v>
      </c>
      <c r="J64" s="170">
        <f>ROUND(H64/D64*I64,2)</f>
        <v>0</v>
      </c>
      <c r="K64" s="178">
        <f>D60</f>
        <v>77</v>
      </c>
      <c r="L64" s="179">
        <f>ROUND(H64/D64*K64,2)</f>
        <v>80000.84</v>
      </c>
      <c r="M64" s="159"/>
      <c r="N64" s="159"/>
      <c r="O64" s="7"/>
    </row>
    <row r="65" spans="1:15" s="152" customFormat="1" ht="15.75" hidden="1" customHeight="1" x14ac:dyDescent="0.2">
      <c r="A65" s="151" t="s">
        <v>134</v>
      </c>
      <c r="B65" s="31">
        <v>1015878</v>
      </c>
      <c r="C65" s="152" t="s">
        <v>46</v>
      </c>
      <c r="D65" s="153">
        <v>532</v>
      </c>
      <c r="E65" s="32">
        <v>77.66</v>
      </c>
      <c r="F65" s="32">
        <f>ROUND(D65*E65,2)</f>
        <v>41315.120000000003</v>
      </c>
      <c r="G65" s="32">
        <f>ROUND(F65*0.1,2)+0.01</f>
        <v>4131.5200000000004</v>
      </c>
      <c r="H65" s="32">
        <f>ROUND(SUM(F65:G65),2)</f>
        <v>45446.64</v>
      </c>
      <c r="I65" s="166"/>
      <c r="J65" s="167"/>
      <c r="K65" s="174"/>
      <c r="L65" s="175"/>
      <c r="M65" s="32"/>
      <c r="N65" s="32"/>
      <c r="O65" s="75"/>
    </row>
    <row r="66" spans="1:15" s="152" customFormat="1" ht="15.75" hidden="1" customHeight="1" x14ac:dyDescent="0.2">
      <c r="A66" s="151"/>
      <c r="B66" s="154">
        <v>44044</v>
      </c>
      <c r="C66" s="152" t="s">
        <v>47</v>
      </c>
      <c r="D66" s="153">
        <f>ROUND((2069-2015)-SUM(D67:D68),3)</f>
        <v>54</v>
      </c>
      <c r="E66" s="32">
        <v>320.45999999999998</v>
      </c>
      <c r="F66" s="32">
        <f>ROUND(D66*E66,2)</f>
        <v>17304.84</v>
      </c>
      <c r="G66" s="32">
        <f t="shared" ref="G66" si="9">ROUND(F66*0.1,2)</f>
        <v>1730.48</v>
      </c>
      <c r="H66" s="32">
        <f>ROUND(SUM(F66:G66),2)</f>
        <v>19035.32</v>
      </c>
      <c r="I66" s="166"/>
      <c r="J66" s="167"/>
      <c r="K66" s="174"/>
      <c r="L66" s="175"/>
      <c r="N66" s="75"/>
      <c r="O66" s="75"/>
    </row>
    <row r="67" spans="1:15" s="152" customFormat="1" ht="15.75" hidden="1" customHeight="1" x14ac:dyDescent="0.2">
      <c r="A67" s="151"/>
      <c r="C67" s="152" t="s">
        <v>48</v>
      </c>
      <c r="D67" s="153">
        <f>ROUND((49.025-49.025)*3.6,3)</f>
        <v>0</v>
      </c>
      <c r="E67" s="32">
        <v>320.45999999999998</v>
      </c>
      <c r="F67" s="32">
        <f>ROUND(D67*E67,2)</f>
        <v>0</v>
      </c>
      <c r="G67" s="32">
        <f>ROUND(F67*0.1,2)</f>
        <v>0</v>
      </c>
      <c r="H67" s="32">
        <f>ROUND(SUM(F67:G67),2)</f>
        <v>0</v>
      </c>
      <c r="I67" s="166"/>
      <c r="J67" s="167"/>
      <c r="K67" s="174"/>
      <c r="L67" s="175"/>
      <c r="N67" s="75"/>
      <c r="O67" s="75"/>
    </row>
    <row r="68" spans="1:15" s="152" customFormat="1" ht="15.75" hidden="1" customHeight="1" x14ac:dyDescent="0.2">
      <c r="A68" s="151"/>
      <c r="C68" s="152" t="s">
        <v>49</v>
      </c>
      <c r="D68" s="153">
        <f>(1747-1747)*3.6</f>
        <v>0</v>
      </c>
      <c r="E68" s="32">
        <v>320.45999999999998</v>
      </c>
      <c r="F68" s="32">
        <f>ROUND(D68*E68,2)</f>
        <v>0</v>
      </c>
      <c r="G68" s="32">
        <f>ROUND(F68*0.1,2)</f>
        <v>0</v>
      </c>
      <c r="H68" s="32">
        <f>ROUND(SUM(F68:G68),2)</f>
        <v>0</v>
      </c>
      <c r="I68" s="166"/>
      <c r="J68" s="167"/>
      <c r="K68" s="174"/>
      <c r="L68" s="175"/>
      <c r="N68" s="75"/>
      <c r="O68" s="75"/>
    </row>
    <row r="69" spans="1:15" s="152" customFormat="1" ht="15.75" hidden="1" customHeight="1" x14ac:dyDescent="0.2">
      <c r="A69" s="151"/>
      <c r="C69" s="152" t="s">
        <v>50</v>
      </c>
      <c r="D69" s="153">
        <f>D70</f>
        <v>54</v>
      </c>
      <c r="E69" s="32">
        <v>87.5</v>
      </c>
      <c r="F69" s="32">
        <f>ROUND(D69*E69,2)</f>
        <v>4725</v>
      </c>
      <c r="G69" s="32">
        <f>ROUND(F69*0.1,2)</f>
        <v>472.5</v>
      </c>
      <c r="H69" s="32">
        <f>ROUND(SUM(F69:G69),2)</f>
        <v>5197.5</v>
      </c>
      <c r="I69" s="166"/>
      <c r="J69" s="168"/>
      <c r="K69" s="176"/>
      <c r="L69" s="177"/>
      <c r="N69" s="75"/>
      <c r="O69" s="75"/>
    </row>
    <row r="70" spans="1:15" s="8" customFormat="1" ht="15.75" hidden="1" customHeight="1" x14ac:dyDescent="0.2">
      <c r="A70" s="155"/>
      <c r="B70" s="156"/>
      <c r="C70" s="156"/>
      <c r="D70" s="157">
        <f>SUM(D66:D68)</f>
        <v>54</v>
      </c>
      <c r="E70" s="158"/>
      <c r="F70" s="158">
        <f>SUM(F65:F69)</f>
        <v>63344.960000000006</v>
      </c>
      <c r="G70" s="158">
        <f>SUM(G65:G69)</f>
        <v>6334.5</v>
      </c>
      <c r="H70" s="158">
        <f>SUM(H65:H69)</f>
        <v>69679.459999999992</v>
      </c>
      <c r="I70" s="169">
        <f>SUM(D67:D68)</f>
        <v>0</v>
      </c>
      <c r="J70" s="170">
        <f>ROUND(H70/D70*I70,2)</f>
        <v>0</v>
      </c>
      <c r="K70" s="178">
        <f>D66</f>
        <v>54</v>
      </c>
      <c r="L70" s="179">
        <f>ROUND(H70/D70*K70,2)</f>
        <v>69679.460000000006</v>
      </c>
      <c r="M70" s="159"/>
      <c r="N70" s="159"/>
      <c r="O70" s="7"/>
    </row>
    <row r="71" spans="1:15" s="152" customFormat="1" ht="15.75" hidden="1" customHeight="1" x14ac:dyDescent="0.2">
      <c r="A71" s="151" t="s">
        <v>135</v>
      </c>
      <c r="B71" s="31">
        <v>1015995</v>
      </c>
      <c r="C71" s="152" t="s">
        <v>46</v>
      </c>
      <c r="D71" s="153">
        <v>532</v>
      </c>
      <c r="E71" s="32">
        <v>77.66</v>
      </c>
      <c r="F71" s="32">
        <f>ROUND(D71*E71,2)</f>
        <v>41315.120000000003</v>
      </c>
      <c r="G71" s="32">
        <f>ROUND(F71*0.1,2)</f>
        <v>4131.51</v>
      </c>
      <c r="H71" s="32">
        <f>ROUND(SUM(F71:G71),2)</f>
        <v>45446.63</v>
      </c>
      <c r="I71" s="166"/>
      <c r="J71" s="167"/>
      <c r="K71" s="174"/>
      <c r="L71" s="175"/>
      <c r="M71" s="32"/>
      <c r="N71" s="32"/>
      <c r="O71" s="75"/>
    </row>
    <row r="72" spans="1:15" s="152" customFormat="1" ht="15.75" hidden="1" customHeight="1" x14ac:dyDescent="0.2">
      <c r="A72" s="151"/>
      <c r="B72" s="154">
        <v>44075</v>
      </c>
      <c r="C72" s="152" t="s">
        <v>47</v>
      </c>
      <c r="D72" s="153">
        <f>ROUND((2161-2069)-SUM(D73:D74),3)</f>
        <v>81.073999999999998</v>
      </c>
      <c r="E72" s="32">
        <v>320.45999999999998</v>
      </c>
      <c r="F72" s="32">
        <f>ROUND(D72*E72,2)</f>
        <v>25980.97</v>
      </c>
      <c r="G72" s="32">
        <f t="shared" ref="G72" si="10">ROUND(F72*0.1,2)</f>
        <v>2598.1</v>
      </c>
      <c r="H72" s="32">
        <f>ROUND(SUM(F72:G72),2)</f>
        <v>28579.07</v>
      </c>
      <c r="I72" s="166"/>
      <c r="J72" s="167"/>
      <c r="K72" s="174"/>
      <c r="L72" s="175"/>
      <c r="N72" s="75"/>
      <c r="O72" s="75"/>
    </row>
    <row r="73" spans="1:15" s="152" customFormat="1" ht="15.75" hidden="1" customHeight="1" x14ac:dyDescent="0.2">
      <c r="A73" s="151"/>
      <c r="C73" s="152" t="s">
        <v>48</v>
      </c>
      <c r="D73" s="153">
        <f>ROUND((49.06-49.025)*3.6,3)</f>
        <v>0.126</v>
      </c>
      <c r="E73" s="32">
        <v>320.45999999999998</v>
      </c>
      <c r="F73" s="32">
        <f>ROUND(D73*E73,2)</f>
        <v>40.380000000000003</v>
      </c>
      <c r="G73" s="32">
        <f>ROUND(F73*0.1,2)</f>
        <v>4.04</v>
      </c>
      <c r="H73" s="32">
        <f>ROUND(SUM(F73:G73),2)</f>
        <v>44.42</v>
      </c>
      <c r="I73" s="166"/>
      <c r="J73" s="167"/>
      <c r="K73" s="174"/>
      <c r="L73" s="175"/>
      <c r="N73" s="75"/>
      <c r="O73" s="75"/>
    </row>
    <row r="74" spans="1:15" s="152" customFormat="1" ht="15.75" hidden="1" customHeight="1" x14ac:dyDescent="0.2">
      <c r="A74" s="151"/>
      <c r="C74" s="152" t="s">
        <v>49</v>
      </c>
      <c r="D74" s="153">
        <f>(1750-1747)*3.6</f>
        <v>10.8</v>
      </c>
      <c r="E74" s="32">
        <v>320.45999999999998</v>
      </c>
      <c r="F74" s="32">
        <f>ROUND(D74*E74,2)</f>
        <v>3460.97</v>
      </c>
      <c r="G74" s="32">
        <f>ROUND(F74*0.1,2)-0.01</f>
        <v>346.09000000000003</v>
      </c>
      <c r="H74" s="32">
        <f>ROUND(SUM(F74:G74),2)</f>
        <v>3807.06</v>
      </c>
      <c r="I74" s="166"/>
      <c r="J74" s="167"/>
      <c r="K74" s="174"/>
      <c r="L74" s="175"/>
      <c r="N74" s="75"/>
      <c r="O74" s="75"/>
    </row>
    <row r="75" spans="1:15" s="152" customFormat="1" ht="15.75" hidden="1" customHeight="1" x14ac:dyDescent="0.2">
      <c r="A75" s="151"/>
      <c r="C75" s="152" t="s">
        <v>50</v>
      </c>
      <c r="D75" s="153">
        <f>D76</f>
        <v>92</v>
      </c>
      <c r="E75" s="32">
        <v>87.5</v>
      </c>
      <c r="F75" s="32">
        <f>ROUND(D75*E75,2)</f>
        <v>8050</v>
      </c>
      <c r="G75" s="32">
        <f>ROUND(F75*0.1,2)</f>
        <v>805</v>
      </c>
      <c r="H75" s="32">
        <f>ROUND(SUM(F75:G75),2)</f>
        <v>8855</v>
      </c>
      <c r="I75" s="166"/>
      <c r="J75" s="168"/>
      <c r="K75" s="176"/>
      <c r="L75" s="177"/>
      <c r="N75" s="75"/>
      <c r="O75" s="75"/>
    </row>
    <row r="76" spans="1:15" s="8" customFormat="1" ht="15.75" hidden="1" customHeight="1" x14ac:dyDescent="0.2">
      <c r="A76" s="155"/>
      <c r="B76" s="156"/>
      <c r="C76" s="156"/>
      <c r="D76" s="157">
        <f>SUM(D72:D74)</f>
        <v>92</v>
      </c>
      <c r="E76" s="158"/>
      <c r="F76" s="158">
        <f>SUM(F71:F75)</f>
        <v>78847.44</v>
      </c>
      <c r="G76" s="158">
        <f>SUM(G71:G75)</f>
        <v>7884.7400000000007</v>
      </c>
      <c r="H76" s="158">
        <f>SUM(H71:H75)</f>
        <v>86732.18</v>
      </c>
      <c r="I76" s="169">
        <f>SUM(D73:D74)</f>
        <v>10.926</v>
      </c>
      <c r="J76" s="170">
        <f>ROUND(H76/D76*I76,2)</f>
        <v>10300.39</v>
      </c>
      <c r="K76" s="178">
        <f>D72</f>
        <v>81.073999999999998</v>
      </c>
      <c r="L76" s="179">
        <f>ROUND(H76/D76*K76,2)</f>
        <v>76431.789999999994</v>
      </c>
      <c r="M76" s="159"/>
      <c r="N76" s="159"/>
      <c r="O76" s="7"/>
    </row>
    <row r="77" spans="1:15" s="152" customFormat="1" ht="15.75" hidden="1" customHeight="1" x14ac:dyDescent="0.2">
      <c r="A77" s="151" t="s">
        <v>136</v>
      </c>
      <c r="B77" s="31">
        <v>10151117</v>
      </c>
      <c r="C77" s="152" t="s">
        <v>46</v>
      </c>
      <c r="D77" s="153">
        <v>532</v>
      </c>
      <c r="E77" s="32">
        <v>77.66</v>
      </c>
      <c r="F77" s="32">
        <f>ROUND(D77*E77,2)</f>
        <v>41315.120000000003</v>
      </c>
      <c r="G77" s="32">
        <f>ROUND(F77*0.1,2)</f>
        <v>4131.51</v>
      </c>
      <c r="H77" s="32">
        <f>ROUND(SUM(F77:G77),2)</f>
        <v>45446.63</v>
      </c>
      <c r="I77" s="166"/>
      <c r="J77" s="167"/>
      <c r="K77" s="174"/>
      <c r="L77" s="175"/>
      <c r="M77" s="32"/>
      <c r="N77" s="32"/>
      <c r="O77" s="75"/>
    </row>
    <row r="78" spans="1:15" s="152" customFormat="1" ht="15.75" hidden="1" customHeight="1" x14ac:dyDescent="0.2">
      <c r="A78" s="151"/>
      <c r="B78" s="154">
        <v>44105</v>
      </c>
      <c r="C78" s="152" t="s">
        <v>47</v>
      </c>
      <c r="D78" s="153">
        <f>ROUND((2304-2161)-SUM(D79:D80),3)</f>
        <v>71.468000000000004</v>
      </c>
      <c r="E78" s="32">
        <v>320.45999999999998</v>
      </c>
      <c r="F78" s="32">
        <f>ROUND(D78*E78,2)</f>
        <v>22902.639999999999</v>
      </c>
      <c r="G78" s="32">
        <f t="shared" ref="G78" si="11">ROUND(F78*0.1,2)</f>
        <v>2290.2600000000002</v>
      </c>
      <c r="H78" s="32">
        <f>ROUND(SUM(F78:G78),2)</f>
        <v>25192.9</v>
      </c>
      <c r="I78" s="166"/>
      <c r="J78" s="167"/>
      <c r="K78" s="174"/>
      <c r="L78" s="175"/>
      <c r="N78" s="75"/>
      <c r="O78" s="75"/>
    </row>
    <row r="79" spans="1:15" s="152" customFormat="1" ht="15.75" hidden="1" customHeight="1" x14ac:dyDescent="0.2">
      <c r="A79" s="151"/>
      <c r="C79" s="152" t="s">
        <v>48</v>
      </c>
      <c r="D79" s="153">
        <f>ROUND((49.93-49.06)*3.6,3)</f>
        <v>3.1320000000000001</v>
      </c>
      <c r="E79" s="32">
        <v>320.45999999999998</v>
      </c>
      <c r="F79" s="32">
        <f>ROUND(D79*E79,2)</f>
        <v>1003.68</v>
      </c>
      <c r="G79" s="32">
        <f>ROUND(F79*0.1,2)</f>
        <v>100.37</v>
      </c>
      <c r="H79" s="32">
        <f>ROUND(SUM(F79:G79),2)</f>
        <v>1104.05</v>
      </c>
      <c r="I79" s="166"/>
      <c r="J79" s="167"/>
      <c r="K79" s="174"/>
      <c r="L79" s="175"/>
      <c r="N79" s="75"/>
      <c r="O79" s="75"/>
    </row>
    <row r="80" spans="1:15" s="152" customFormat="1" ht="15.75" hidden="1" customHeight="1" x14ac:dyDescent="0.2">
      <c r="A80" s="151"/>
      <c r="C80" s="152" t="s">
        <v>49</v>
      </c>
      <c r="D80" s="153">
        <f>(1769-1750)*3.6</f>
        <v>68.400000000000006</v>
      </c>
      <c r="E80" s="32">
        <v>320.45999999999998</v>
      </c>
      <c r="F80" s="32">
        <f>ROUND(D80*E80,2)</f>
        <v>21919.46</v>
      </c>
      <c r="G80" s="32">
        <f>ROUND(F80*0.1,2)</f>
        <v>2191.9499999999998</v>
      </c>
      <c r="H80" s="32">
        <f>ROUND(SUM(F80:G80),2)</f>
        <v>24111.41</v>
      </c>
      <c r="I80" s="166"/>
      <c r="J80" s="167"/>
      <c r="K80" s="174"/>
      <c r="L80" s="175"/>
      <c r="N80" s="75"/>
      <c r="O80" s="75"/>
    </row>
    <row r="81" spans="1:15" s="152" customFormat="1" ht="15.75" hidden="1" customHeight="1" x14ac:dyDescent="0.2">
      <c r="A81" s="151"/>
      <c r="C81" s="152" t="s">
        <v>50</v>
      </c>
      <c r="D81" s="153">
        <f>D82</f>
        <v>143</v>
      </c>
      <c r="E81" s="32">
        <v>87.5</v>
      </c>
      <c r="F81" s="32">
        <f>ROUND(D81*E81,2)</f>
        <v>12512.5</v>
      </c>
      <c r="G81" s="32">
        <f>ROUND(F81*0.1,2)</f>
        <v>1251.25</v>
      </c>
      <c r="H81" s="32">
        <f>ROUND(SUM(F81:G81),2)</f>
        <v>13763.75</v>
      </c>
      <c r="I81" s="166"/>
      <c r="J81" s="168"/>
      <c r="K81" s="176"/>
      <c r="L81" s="177"/>
      <c r="N81" s="75"/>
      <c r="O81" s="75"/>
    </row>
    <row r="82" spans="1:15" s="8" customFormat="1" ht="15.75" hidden="1" customHeight="1" x14ac:dyDescent="0.2">
      <c r="A82" s="155"/>
      <c r="B82" s="156"/>
      <c r="C82" s="156"/>
      <c r="D82" s="157">
        <f>SUM(D78:D80)</f>
        <v>143</v>
      </c>
      <c r="E82" s="158"/>
      <c r="F82" s="158">
        <f>SUM(F77:F81)</f>
        <v>99653.4</v>
      </c>
      <c r="G82" s="158">
        <f>SUM(G77:G81)</f>
        <v>9965.34</v>
      </c>
      <c r="H82" s="158">
        <f>SUM(H77:H81)</f>
        <v>109618.74</v>
      </c>
      <c r="I82" s="169">
        <f>SUM(D79:D80)</f>
        <v>71.532000000000011</v>
      </c>
      <c r="J82" s="170">
        <f>ROUND(H82/D82*I82,2)</f>
        <v>54833.9</v>
      </c>
      <c r="K82" s="178">
        <f>D78</f>
        <v>71.468000000000004</v>
      </c>
      <c r="L82" s="179">
        <f>ROUND(H82/D82*K82,2)</f>
        <v>54784.84</v>
      </c>
      <c r="M82" s="159"/>
      <c r="N82" s="159"/>
      <c r="O82" s="7"/>
    </row>
    <row r="83" spans="1:15" s="152" customFormat="1" ht="15.75" hidden="1" customHeight="1" x14ac:dyDescent="0.2">
      <c r="A83" s="151" t="s">
        <v>137</v>
      </c>
      <c r="B83" s="31">
        <v>10151230</v>
      </c>
      <c r="C83" s="152" t="s">
        <v>46</v>
      </c>
      <c r="D83" s="153">
        <v>532</v>
      </c>
      <c r="E83" s="32">
        <v>77.66</v>
      </c>
      <c r="F83" s="32">
        <f>ROUND(D83*E83,2)</f>
        <v>41315.120000000003</v>
      </c>
      <c r="G83" s="32">
        <f>ROUND(F83*0.1,2)</f>
        <v>4131.51</v>
      </c>
      <c r="H83" s="32">
        <f>ROUND(SUM(F83:G83),2)</f>
        <v>45446.63</v>
      </c>
      <c r="I83" s="166"/>
      <c r="J83" s="167"/>
      <c r="K83" s="174"/>
      <c r="L83" s="175"/>
      <c r="M83" s="32"/>
      <c r="N83" s="32"/>
      <c r="O83" s="75"/>
    </row>
    <row r="84" spans="1:15" s="152" customFormat="1" ht="15.75" hidden="1" customHeight="1" x14ac:dyDescent="0.2">
      <c r="A84" s="151"/>
      <c r="B84" s="154">
        <v>44136</v>
      </c>
      <c r="C84" s="152" t="s">
        <v>47</v>
      </c>
      <c r="D84" s="153">
        <f>ROUND((2543-2304)-SUM(D85:D86),3)</f>
        <v>81.543000000000006</v>
      </c>
      <c r="E84" s="32">
        <v>320.45999999999998</v>
      </c>
      <c r="F84" s="32">
        <f>ROUND(D84*E84,2)</f>
        <v>26131.27</v>
      </c>
      <c r="G84" s="32">
        <f t="shared" ref="G84" si="12">ROUND(F84*0.1,2)</f>
        <v>2613.13</v>
      </c>
      <c r="H84" s="32">
        <f>ROUND(SUM(F84:G84),2)</f>
        <v>28744.400000000001</v>
      </c>
      <c r="I84" s="166"/>
      <c r="J84" s="167"/>
      <c r="K84" s="174"/>
      <c r="L84" s="175"/>
      <c r="N84" s="75"/>
      <c r="O84" s="75"/>
    </row>
    <row r="85" spans="1:15" s="152" customFormat="1" ht="15.75" hidden="1" customHeight="1" x14ac:dyDescent="0.2">
      <c r="A85" s="151"/>
      <c r="C85" s="152" t="s">
        <v>48</v>
      </c>
      <c r="D85" s="153">
        <f>ROUND((51.668-49.93)*3.6,3)</f>
        <v>6.2569999999999997</v>
      </c>
      <c r="E85" s="32">
        <v>320.45999999999998</v>
      </c>
      <c r="F85" s="32">
        <f>ROUND(D85*E85,2)</f>
        <v>2005.12</v>
      </c>
      <c r="G85" s="32">
        <f>ROUND(F85*0.1,2)</f>
        <v>200.51</v>
      </c>
      <c r="H85" s="32">
        <f>ROUND(SUM(F85:G85),2)</f>
        <v>2205.63</v>
      </c>
      <c r="I85" s="166"/>
      <c r="J85" s="167"/>
      <c r="K85" s="174"/>
      <c r="L85" s="175"/>
      <c r="N85" s="75"/>
      <c r="O85" s="75"/>
    </row>
    <row r="86" spans="1:15" s="152" customFormat="1" ht="15.75" hidden="1" customHeight="1" x14ac:dyDescent="0.2">
      <c r="A86" s="151"/>
      <c r="C86" s="152" t="s">
        <v>49</v>
      </c>
      <c r="D86" s="153">
        <f>(1811-1769)*3.6</f>
        <v>151.20000000000002</v>
      </c>
      <c r="E86" s="32">
        <v>320.45999999999998</v>
      </c>
      <c r="F86" s="32">
        <f>ROUND(D86*E86,2)</f>
        <v>48453.55</v>
      </c>
      <c r="G86" s="32">
        <f>ROUND(F86*0.1,2)</f>
        <v>4845.3599999999997</v>
      </c>
      <c r="H86" s="32">
        <f>ROUND(SUM(F86:G86),2)</f>
        <v>53298.91</v>
      </c>
      <c r="I86" s="166"/>
      <c r="J86" s="167"/>
      <c r="K86" s="174"/>
      <c r="L86" s="175"/>
      <c r="N86" s="75"/>
      <c r="O86" s="75"/>
    </row>
    <row r="87" spans="1:15" s="152" customFormat="1" ht="15.75" hidden="1" customHeight="1" x14ac:dyDescent="0.2">
      <c r="A87" s="151"/>
      <c r="C87" s="152" t="s">
        <v>50</v>
      </c>
      <c r="D87" s="153">
        <f>D88</f>
        <v>239.00000000000003</v>
      </c>
      <c r="E87" s="32">
        <v>87.5</v>
      </c>
      <c r="F87" s="32">
        <f>ROUND(D87*E87,2)</f>
        <v>20912.5</v>
      </c>
      <c r="G87" s="32">
        <f>ROUND(F87*0.1,2)</f>
        <v>2091.25</v>
      </c>
      <c r="H87" s="32">
        <f>ROUND(SUM(F87:G87),2)</f>
        <v>23003.75</v>
      </c>
      <c r="I87" s="166"/>
      <c r="J87" s="168"/>
      <c r="K87" s="176"/>
      <c r="L87" s="177"/>
      <c r="N87" s="75"/>
      <c r="O87" s="75"/>
    </row>
    <row r="88" spans="1:15" s="8" customFormat="1" ht="15.75" hidden="1" customHeight="1" x14ac:dyDescent="0.2">
      <c r="A88" s="155"/>
      <c r="B88" s="156"/>
      <c r="C88" s="156"/>
      <c r="D88" s="157">
        <f>SUM(D84:D86)</f>
        <v>239.00000000000003</v>
      </c>
      <c r="E88" s="158"/>
      <c r="F88" s="158">
        <f>SUM(F83:F87)</f>
        <v>138817.56</v>
      </c>
      <c r="G88" s="158">
        <f>SUM(G83:G87)</f>
        <v>13881.76</v>
      </c>
      <c r="H88" s="158">
        <f>SUM(H83:H87)</f>
        <v>152699.32</v>
      </c>
      <c r="I88" s="169">
        <f>SUM(D85:D86)</f>
        <v>157.45700000000002</v>
      </c>
      <c r="J88" s="170">
        <f>ROUND(H88/D88*I88,2)</f>
        <v>100600.74</v>
      </c>
      <c r="K88" s="178">
        <f>D84</f>
        <v>81.543000000000006</v>
      </c>
      <c r="L88" s="179">
        <f>ROUND(H88/D88*K88,2)</f>
        <v>52098.58</v>
      </c>
      <c r="M88" s="159"/>
      <c r="N88" s="159"/>
      <c r="O88" s="7"/>
    </row>
    <row r="89" spans="1:15" s="152" customFormat="1" ht="15.75" hidden="1" customHeight="1" x14ac:dyDescent="0.2">
      <c r="A89" s="151" t="s">
        <v>138</v>
      </c>
      <c r="B89" s="31">
        <v>10151347</v>
      </c>
      <c r="C89" s="152" t="s">
        <v>46</v>
      </c>
      <c r="D89" s="153">
        <v>532</v>
      </c>
      <c r="E89" s="32">
        <v>77.66</v>
      </c>
      <c r="F89" s="32">
        <f>ROUND(D89*E89,2)</f>
        <v>41315.120000000003</v>
      </c>
      <c r="G89" s="32">
        <f>ROUND(F89*0.1,2)</f>
        <v>4131.51</v>
      </c>
      <c r="H89" s="32">
        <f>ROUND(SUM(F89:G89),2)</f>
        <v>45446.63</v>
      </c>
      <c r="I89" s="166"/>
      <c r="J89" s="167"/>
      <c r="K89" s="174"/>
      <c r="L89" s="175"/>
      <c r="M89" s="32"/>
      <c r="N89" s="32"/>
      <c r="O89" s="75"/>
    </row>
    <row r="90" spans="1:15" s="152" customFormat="1" ht="15.75" hidden="1" customHeight="1" x14ac:dyDescent="0.2">
      <c r="A90" s="151"/>
      <c r="B90" s="154">
        <v>44166</v>
      </c>
      <c r="C90" s="152" t="s">
        <v>47</v>
      </c>
      <c r="D90" s="153">
        <f>ROUND((2904-2543)-SUM(D91:D92),3)</f>
        <v>99.561000000000007</v>
      </c>
      <c r="E90" s="32">
        <v>320.45999999999998</v>
      </c>
      <c r="F90" s="32">
        <f>ROUND(D90*E90,2)</f>
        <v>31905.32</v>
      </c>
      <c r="G90" s="32">
        <f t="shared" ref="G90" si="13">ROUND(F90*0.1,2)</f>
        <v>3190.53</v>
      </c>
      <c r="H90" s="32">
        <f>ROUND(SUM(F90:G90),2)</f>
        <v>35095.85</v>
      </c>
      <c r="I90" s="166"/>
      <c r="J90" s="167"/>
      <c r="K90" s="174"/>
      <c r="L90" s="175"/>
      <c r="N90" s="75"/>
      <c r="O90" s="75"/>
    </row>
    <row r="91" spans="1:15" s="152" customFormat="1" ht="15.75" hidden="1" customHeight="1" x14ac:dyDescent="0.2">
      <c r="A91" s="151"/>
      <c r="C91" s="152" t="s">
        <v>48</v>
      </c>
      <c r="D91" s="153">
        <f>ROUND((55.29-51.668)*3.6,3)</f>
        <v>13.039</v>
      </c>
      <c r="E91" s="32">
        <v>320.45999999999998</v>
      </c>
      <c r="F91" s="32">
        <f>ROUND(D91*E91,2)</f>
        <v>4178.4799999999996</v>
      </c>
      <c r="G91" s="32">
        <f>ROUND(F91*0.1,2)</f>
        <v>417.85</v>
      </c>
      <c r="H91" s="32">
        <f>ROUND(SUM(F91:G91),2)</f>
        <v>4596.33</v>
      </c>
      <c r="I91" s="166"/>
      <c r="J91" s="167"/>
      <c r="K91" s="174"/>
      <c r="L91" s="175"/>
      <c r="N91" s="75"/>
      <c r="O91" s="75"/>
    </row>
    <row r="92" spans="1:15" s="152" customFormat="1" ht="15.75" hidden="1" customHeight="1" x14ac:dyDescent="0.2">
      <c r="A92" s="151"/>
      <c r="C92" s="152" t="s">
        <v>49</v>
      </c>
      <c r="D92" s="153">
        <f>(1880-1811)*3.6</f>
        <v>248.4</v>
      </c>
      <c r="E92" s="32">
        <v>320.45999999999998</v>
      </c>
      <c r="F92" s="32">
        <f>ROUND(D92*E92,2)</f>
        <v>79602.259999999995</v>
      </c>
      <c r="G92" s="32">
        <f>ROUND(F92*0.1,2)</f>
        <v>7960.23</v>
      </c>
      <c r="H92" s="32">
        <f>ROUND(SUM(F92:G92),2)</f>
        <v>87562.49</v>
      </c>
      <c r="I92" s="166"/>
      <c r="J92" s="167"/>
      <c r="K92" s="174"/>
      <c r="L92" s="175"/>
      <c r="N92" s="75"/>
      <c r="O92" s="75"/>
    </row>
    <row r="93" spans="1:15" s="152" customFormat="1" ht="15.75" hidden="1" customHeight="1" x14ac:dyDescent="0.2">
      <c r="A93" s="151"/>
      <c r="C93" s="152" t="s">
        <v>50</v>
      </c>
      <c r="D93" s="153">
        <f>D94</f>
        <v>361</v>
      </c>
      <c r="E93" s="32">
        <v>87.5</v>
      </c>
      <c r="F93" s="32">
        <f>ROUND(D93*E93,2)</f>
        <v>31587.5</v>
      </c>
      <c r="G93" s="32">
        <f>ROUND(F93*0.1,2)</f>
        <v>3158.75</v>
      </c>
      <c r="H93" s="32">
        <f>ROUND(SUM(F93:G93),2)</f>
        <v>34746.25</v>
      </c>
      <c r="I93" s="166"/>
      <c r="J93" s="168"/>
      <c r="K93" s="176"/>
      <c r="L93" s="177"/>
      <c r="N93" s="75"/>
      <c r="O93" s="75"/>
    </row>
    <row r="94" spans="1:15" s="8" customFormat="1" ht="15.75" hidden="1" customHeight="1" x14ac:dyDescent="0.2">
      <c r="A94" s="155"/>
      <c r="B94" s="156"/>
      <c r="C94" s="156"/>
      <c r="D94" s="157">
        <f>SUM(D90:D92)</f>
        <v>361</v>
      </c>
      <c r="E94" s="158"/>
      <c r="F94" s="158">
        <f>SUM(F89:F93)</f>
        <v>188588.68</v>
      </c>
      <c r="G94" s="158">
        <f>SUM(G89:G93)</f>
        <v>18858.870000000003</v>
      </c>
      <c r="H94" s="158">
        <f>SUM(H89:H93)</f>
        <v>207447.55</v>
      </c>
      <c r="I94" s="169">
        <f>SUM(D91:D92)</f>
        <v>261.43900000000002</v>
      </c>
      <c r="J94" s="170">
        <f>ROUND(H94/D94*I94,2)</f>
        <v>150235.12</v>
      </c>
      <c r="K94" s="178">
        <f>D90</f>
        <v>99.561000000000007</v>
      </c>
      <c r="L94" s="179">
        <f>ROUND(H94/D94*K94,2)</f>
        <v>57212.43</v>
      </c>
      <c r="M94" s="159"/>
      <c r="N94" s="159"/>
      <c r="O94" s="7"/>
    </row>
    <row r="95" spans="1:15" s="152" customFormat="1" ht="30" hidden="1" customHeight="1" x14ac:dyDescent="0.2">
      <c r="A95" s="151" t="s">
        <v>139</v>
      </c>
      <c r="B95" s="160" t="s">
        <v>140</v>
      </c>
      <c r="C95" s="152" t="s">
        <v>51</v>
      </c>
      <c r="D95" s="153">
        <f>2209</f>
        <v>2209</v>
      </c>
      <c r="E95" s="32">
        <f>(18310848.03-18037277.24)/58365.51</f>
        <v>4.6871995121777026</v>
      </c>
      <c r="F95" s="32">
        <f>ROUND(D95*E95,2)</f>
        <v>10354.02</v>
      </c>
      <c r="G95" s="32">
        <f>ROUND(F95*0.1,2)</f>
        <v>1035.4000000000001</v>
      </c>
      <c r="H95" s="32">
        <f>ROUND(SUM(F95:G95),2)</f>
        <v>11389.42</v>
      </c>
      <c r="I95" s="183">
        <f>D95/2209*1205.44</f>
        <v>1205.44</v>
      </c>
      <c r="J95" s="184">
        <f>ROUND(H95/2209*1205.44,2)</f>
        <v>6215.15</v>
      </c>
      <c r="K95" s="180">
        <f>D95/2209*1003.56</f>
        <v>1003.56</v>
      </c>
      <c r="L95" s="176">
        <f>ROUND(H95/2209*1003.56,2)</f>
        <v>5174.2700000000004</v>
      </c>
      <c r="N95" s="75"/>
      <c r="O95" s="75"/>
    </row>
    <row r="96" spans="1:15" s="34" customFormat="1" ht="15.75" customHeight="1" thickBot="1" x14ac:dyDescent="0.25">
      <c r="A96" s="33"/>
      <c r="B96" s="34" t="s">
        <v>0</v>
      </c>
      <c r="D96" s="35">
        <f>+D28+D34+D40+D46+D52+D58+D64+D70+D76+D82+D88+D94</f>
        <v>2209</v>
      </c>
      <c r="E96" s="114"/>
      <c r="F96" s="189">
        <f>F28+F34+F40+F46+F52+F58+F64+F70+F76+F82+F88+F94+F95</f>
        <v>1407319.09</v>
      </c>
      <c r="G96" s="189">
        <f t="shared" ref="G96" si="14">G28+G34+G40+G46+G52+G58+G64+G70+G76+G82+G88+G94+G95</f>
        <v>140731.91</v>
      </c>
      <c r="H96" s="36">
        <f>H28+H34+H40+H46+H52+H58+H64+H70+H76+H82+H88+H94+H95+H22</f>
        <v>1548051.4199999997</v>
      </c>
      <c r="I96" s="185">
        <f>SUM(I22:I94)</f>
        <v>1205.443</v>
      </c>
      <c r="J96" s="186">
        <f>SUM(J22:J95)</f>
        <v>763083.70000000007</v>
      </c>
      <c r="K96" s="181">
        <f>SUM(K22:K94)</f>
        <v>1003.557</v>
      </c>
      <c r="L96" s="182">
        <f>SUM(L22:L95)</f>
        <v>784967.72</v>
      </c>
    </row>
    <row r="97" spans="1:19" ht="15.95" customHeight="1" thickTop="1" x14ac:dyDescent="0.2">
      <c r="A97" s="87"/>
      <c r="D97" s="81"/>
      <c r="F97" s="190"/>
      <c r="G97" s="190"/>
      <c r="H97" s="104"/>
      <c r="I97" s="105"/>
      <c r="K97" s="105"/>
      <c r="N97" s="81"/>
      <c r="O97" s="81"/>
      <c r="R97" s="79"/>
      <c r="S97" s="79"/>
    </row>
    <row r="98" spans="1:19" s="5" customFormat="1" ht="21.75" customHeight="1" x14ac:dyDescent="0.25">
      <c r="A98" s="2"/>
      <c r="B98" s="3" t="s">
        <v>52</v>
      </c>
      <c r="C98" s="37"/>
      <c r="D98" s="7"/>
      <c r="E98" s="75"/>
      <c r="F98" s="75"/>
      <c r="G98" s="75"/>
      <c r="H98" s="75"/>
      <c r="I98" s="75"/>
      <c r="J98" s="75"/>
      <c r="M98" s="2"/>
      <c r="Q98" s="75"/>
      <c r="R98" s="75"/>
    </row>
    <row r="99" spans="1:19" ht="15.95" customHeight="1" x14ac:dyDescent="0.2">
      <c r="B99" s="79" t="s">
        <v>1</v>
      </c>
      <c r="C99" s="79" t="s">
        <v>2</v>
      </c>
      <c r="D99" s="81"/>
      <c r="E99" s="139" t="s">
        <v>6</v>
      </c>
      <c r="F99" s="139" t="s">
        <v>9</v>
      </c>
      <c r="G99" s="187" t="s">
        <v>0</v>
      </c>
      <c r="H99" s="187"/>
      <c r="I99" s="187" t="s">
        <v>10</v>
      </c>
      <c r="J99" s="139" t="s">
        <v>11</v>
      </c>
      <c r="K99" s="196" t="s">
        <v>12</v>
      </c>
      <c r="N99" s="79"/>
      <c r="R99" s="79"/>
      <c r="S99" s="79"/>
    </row>
    <row r="100" spans="1:19" ht="15.95" customHeight="1" x14ac:dyDescent="0.2">
      <c r="A100" s="151" t="s">
        <v>141</v>
      </c>
      <c r="B100" s="144" t="s">
        <v>24</v>
      </c>
      <c r="C100" s="2" t="s">
        <v>142</v>
      </c>
      <c r="D100" s="115" t="s">
        <v>53</v>
      </c>
      <c r="E100" s="192">
        <f>ROUND((I100*J100)+K100,2)+0.01</f>
        <v>8521.8000000000011</v>
      </c>
      <c r="F100" s="192">
        <f>ROUND(E100*0.21,2)</f>
        <v>1789.58</v>
      </c>
      <c r="G100" s="192">
        <f>ROUND(E100+F100,0)</f>
        <v>10311</v>
      </c>
      <c r="H100" s="195" t="s">
        <v>54</v>
      </c>
      <c r="I100" s="194">
        <f>14854-13753</f>
        <v>1101</v>
      </c>
      <c r="J100" s="12">
        <f>1.944+0.0283+2.40463+0.07712+0.495</f>
        <v>4.9490499999999997</v>
      </c>
      <c r="K100" s="12">
        <f>7.35*(99+314+5.08)</f>
        <v>3072.8879999999999</v>
      </c>
      <c r="N100" s="79"/>
      <c r="R100" s="79"/>
      <c r="S100" s="79"/>
    </row>
    <row r="101" spans="1:19" ht="15.95" customHeight="1" x14ac:dyDescent="0.2">
      <c r="A101" s="151" t="s">
        <v>143</v>
      </c>
      <c r="B101" s="144" t="s">
        <v>24</v>
      </c>
      <c r="C101" s="2" t="s">
        <v>144</v>
      </c>
      <c r="D101" s="115" t="s">
        <v>53</v>
      </c>
      <c r="E101" s="192">
        <f>ROUND((I101*J101)+K101,2)</f>
        <v>5344.07</v>
      </c>
      <c r="F101" s="192">
        <f>ROUND(E101*0.21,2)+0.02</f>
        <v>1122.27</v>
      </c>
      <c r="G101" s="192">
        <f>ROUND(E101+F101,0)</f>
        <v>6466</v>
      </c>
      <c r="H101" s="195" t="s">
        <v>55</v>
      </c>
      <c r="I101" s="194">
        <f>15541-14854</f>
        <v>687</v>
      </c>
      <c r="J101" s="12">
        <f>1.944+0.0283+2.40463+0.07712+0.495</f>
        <v>4.9490499999999997</v>
      </c>
      <c r="K101" s="12">
        <f>4.65*(99+314+5.08)</f>
        <v>1944.0720000000001</v>
      </c>
      <c r="N101" s="79"/>
      <c r="R101" s="79"/>
      <c r="S101" s="79"/>
    </row>
    <row r="102" spans="1:19" s="5" customFormat="1" ht="15.75" customHeight="1" x14ac:dyDescent="0.2">
      <c r="A102" s="38"/>
      <c r="B102" s="39" t="s">
        <v>0</v>
      </c>
      <c r="C102" s="39"/>
      <c r="D102" s="40"/>
      <c r="E102" s="188">
        <f>SUM(E100:E101)</f>
        <v>13865.87</v>
      </c>
      <c r="F102" s="188">
        <f>SUM(F100:F101)</f>
        <v>2911.85</v>
      </c>
      <c r="G102" s="41">
        <f>SUM(G100:G101)</f>
        <v>16777</v>
      </c>
      <c r="H102" s="42"/>
      <c r="I102" s="43">
        <f>SUM(I100:I101)</f>
        <v>1788</v>
      </c>
      <c r="J102" s="43"/>
      <c r="K102" s="42"/>
    </row>
    <row r="103" spans="1:19" ht="15.95" customHeight="1" x14ac:dyDescent="0.2">
      <c r="A103" s="87"/>
      <c r="D103" s="81"/>
      <c r="E103" s="83"/>
      <c r="F103" s="83"/>
      <c r="G103" s="101"/>
      <c r="H103" s="98"/>
      <c r="I103" s="80"/>
      <c r="J103" s="80"/>
      <c r="K103" s="98"/>
      <c r="N103" s="79"/>
      <c r="R103" s="79"/>
      <c r="S103" s="79"/>
    </row>
    <row r="104" spans="1:19" s="5" customFormat="1" ht="15.75" customHeight="1" x14ac:dyDescent="0.25">
      <c r="A104" s="2"/>
      <c r="B104" s="3" t="s">
        <v>56</v>
      </c>
      <c r="C104" s="44"/>
      <c r="D104" s="7"/>
      <c r="E104" s="75"/>
      <c r="F104" s="75"/>
      <c r="G104" s="75"/>
      <c r="H104" s="75"/>
      <c r="I104" s="75"/>
      <c r="J104" s="75"/>
      <c r="K104" s="75"/>
      <c r="O104" s="75"/>
      <c r="P104" s="75"/>
      <c r="Q104" s="75"/>
    </row>
    <row r="105" spans="1:19" ht="15.95" customHeight="1" x14ac:dyDescent="0.2">
      <c r="B105" s="79" t="s">
        <v>1</v>
      </c>
      <c r="C105" s="79" t="s">
        <v>2</v>
      </c>
      <c r="D105" s="187"/>
      <c r="E105" s="139" t="s">
        <v>6</v>
      </c>
      <c r="F105" s="139" t="s">
        <v>9</v>
      </c>
      <c r="G105" s="187" t="s">
        <v>0</v>
      </c>
      <c r="H105" s="187"/>
      <c r="I105" s="187" t="s">
        <v>10</v>
      </c>
      <c r="J105" s="139" t="s">
        <v>11</v>
      </c>
      <c r="K105" s="196" t="s">
        <v>12</v>
      </c>
      <c r="N105" s="79"/>
      <c r="R105" s="79"/>
      <c r="S105" s="79"/>
    </row>
    <row r="106" spans="1:19" ht="15.95" customHeight="1" x14ac:dyDescent="0.2">
      <c r="A106" s="151" t="s">
        <v>145</v>
      </c>
      <c r="B106" s="144" t="s">
        <v>24</v>
      </c>
      <c r="C106" s="2" t="s">
        <v>142</v>
      </c>
      <c r="D106" s="115" t="s">
        <v>57</v>
      </c>
      <c r="E106" s="192">
        <f>ROUND((I106*J106)+K106,2)-0.01</f>
        <v>11006.21</v>
      </c>
      <c r="F106" s="192">
        <f>ROUND(E106*0.21,2)-0.01</f>
        <v>2311.29</v>
      </c>
      <c r="G106" s="192">
        <f>ROUND(E106+F106,0)</f>
        <v>13318</v>
      </c>
      <c r="H106" s="193" t="s">
        <v>58</v>
      </c>
      <c r="I106" s="194">
        <f>15614-14011</f>
        <v>1603</v>
      </c>
      <c r="J106" s="12">
        <f>1.944+0.0283+2.40463+0.07712+0.495</f>
        <v>4.9490499999999997</v>
      </c>
      <c r="K106" s="12">
        <f>7.35*(99+314+5.08)</f>
        <v>3072.8879999999999</v>
      </c>
      <c r="N106" s="79"/>
      <c r="R106" s="79"/>
      <c r="S106" s="79"/>
    </row>
    <row r="107" spans="1:19" ht="15.95" customHeight="1" x14ac:dyDescent="0.2">
      <c r="A107" s="151" t="s">
        <v>146</v>
      </c>
      <c r="B107" s="144" t="s">
        <v>24</v>
      </c>
      <c r="C107" s="2" t="s">
        <v>144</v>
      </c>
      <c r="D107" s="115" t="s">
        <v>57</v>
      </c>
      <c r="E107" s="192">
        <f>ROUND((I107*J107)+K107,2)</f>
        <v>6289.34</v>
      </c>
      <c r="F107" s="192">
        <f>ROUND(E107*0.21,2)</f>
        <v>1320.76</v>
      </c>
      <c r="G107" s="192">
        <f>ROUND(E107+F107,0)</f>
        <v>7610</v>
      </c>
      <c r="H107" s="193" t="s">
        <v>59</v>
      </c>
      <c r="I107" s="194">
        <f>16492-15614</f>
        <v>878</v>
      </c>
      <c r="J107" s="12">
        <f>1.944+0.0283+2.40463+0.07712+0.495</f>
        <v>4.9490499999999997</v>
      </c>
      <c r="K107" s="12">
        <f>4.65*(99+314+5.08)</f>
        <v>1944.0720000000001</v>
      </c>
      <c r="N107" s="79"/>
      <c r="R107" s="79"/>
      <c r="S107" s="79"/>
    </row>
    <row r="108" spans="1:19" s="5" customFormat="1" ht="15.75" customHeight="1" x14ac:dyDescent="0.2">
      <c r="A108" s="38"/>
      <c r="B108" s="39" t="s">
        <v>0</v>
      </c>
      <c r="C108" s="39"/>
      <c r="D108" s="40"/>
      <c r="E108" s="1">
        <f>SUM(E106:E107)</f>
        <v>17295.55</v>
      </c>
      <c r="F108" s="1">
        <f>SUM(F106:F107)</f>
        <v>3632.05</v>
      </c>
      <c r="G108" s="41">
        <f>SUM(G106:G107)</f>
        <v>20928</v>
      </c>
      <c r="H108" s="42"/>
      <c r="I108" s="43">
        <f>SUM(I106:I107)</f>
        <v>2481</v>
      </c>
      <c r="J108" s="43"/>
      <c r="K108" s="42"/>
    </row>
    <row r="109" spans="1:19" ht="15.95" customHeight="1" x14ac:dyDescent="0.2">
      <c r="A109" s="87"/>
      <c r="D109" s="81"/>
      <c r="E109" s="101"/>
      <c r="F109" s="101"/>
      <c r="G109" s="101"/>
      <c r="H109" s="98"/>
      <c r="I109" s="80"/>
      <c r="J109" s="80"/>
      <c r="K109" s="98"/>
      <c r="N109" s="79"/>
      <c r="R109" s="79"/>
      <c r="S109" s="79"/>
    </row>
    <row r="110" spans="1:19" s="5" customFormat="1" ht="15.75" customHeight="1" x14ac:dyDescent="0.25">
      <c r="A110" s="2"/>
      <c r="B110" s="3" t="s">
        <v>60</v>
      </c>
      <c r="C110" s="37"/>
      <c r="D110" s="7"/>
      <c r="E110" s="75"/>
      <c r="F110" s="75"/>
      <c r="G110" s="75"/>
      <c r="H110" s="75"/>
      <c r="I110" s="75"/>
      <c r="J110" s="75"/>
    </row>
    <row r="111" spans="1:19" ht="15.95" customHeight="1" x14ac:dyDescent="0.2">
      <c r="B111" s="79" t="s">
        <v>1</v>
      </c>
      <c r="C111" s="79" t="s">
        <v>2</v>
      </c>
      <c r="D111" s="81"/>
      <c r="E111" s="139" t="s">
        <v>6</v>
      </c>
      <c r="F111" s="139" t="s">
        <v>9</v>
      </c>
      <c r="G111" s="187" t="s">
        <v>0</v>
      </c>
      <c r="H111" s="187"/>
      <c r="I111" s="187" t="s">
        <v>10</v>
      </c>
      <c r="J111" s="139" t="s">
        <v>11</v>
      </c>
      <c r="K111" s="196" t="s">
        <v>12</v>
      </c>
      <c r="N111" s="79"/>
      <c r="R111" s="79"/>
      <c r="S111" s="79"/>
    </row>
    <row r="112" spans="1:19" ht="15.95" customHeight="1" x14ac:dyDescent="0.2">
      <c r="A112" s="151" t="s">
        <v>147</v>
      </c>
      <c r="B112" s="144" t="s">
        <v>24</v>
      </c>
      <c r="C112" s="2" t="s">
        <v>142</v>
      </c>
      <c r="D112" s="115" t="s">
        <v>61</v>
      </c>
      <c r="E112" s="192">
        <f>ROUND((I112*J112)+K112,2)</f>
        <v>3361.47</v>
      </c>
      <c r="F112" s="192">
        <f>ROUND(E112*0.21,2)</f>
        <v>705.91</v>
      </c>
      <c r="G112" s="192">
        <f>ROUND(E112+F112,0)</f>
        <v>4067</v>
      </c>
      <c r="H112" s="195" t="s">
        <v>62</v>
      </c>
      <c r="I112" s="194">
        <f>4937-4598</f>
        <v>339</v>
      </c>
      <c r="J112" s="12">
        <f>1.944+0.0283+2.40463+0.07712+0.495</f>
        <v>4.9490499999999997</v>
      </c>
      <c r="K112" s="12">
        <f>7.35*(99+125+5.08)</f>
        <v>1683.7380000000001</v>
      </c>
      <c r="N112" s="79"/>
      <c r="R112" s="79"/>
      <c r="S112" s="79"/>
    </row>
    <row r="113" spans="1:19" ht="15.95" customHeight="1" x14ac:dyDescent="0.2">
      <c r="A113" s="151" t="s">
        <v>106</v>
      </c>
      <c r="B113" s="144" t="s">
        <v>24</v>
      </c>
      <c r="C113" s="2" t="s">
        <v>144</v>
      </c>
      <c r="D113" s="115" t="s">
        <v>61</v>
      </c>
      <c r="E113" s="192">
        <f>ROUND((I113*J113)+K113,2)</f>
        <v>2173.81</v>
      </c>
      <c r="F113" s="192">
        <f>ROUND(E113*0.21,2)</f>
        <v>456.5</v>
      </c>
      <c r="G113" s="192">
        <f>ROUND(E113+F113,0)</f>
        <v>2630</v>
      </c>
      <c r="H113" s="195" t="s">
        <v>63</v>
      </c>
      <c r="I113" s="194">
        <f>5161-4937</f>
        <v>224</v>
      </c>
      <c r="J113" s="12">
        <f>1.944+0.0283+2.40463+0.07712+0.495</f>
        <v>4.9490499999999997</v>
      </c>
      <c r="K113" s="12">
        <f>4.65*(99+125+5.08)</f>
        <v>1065.2220000000002</v>
      </c>
      <c r="N113" s="79"/>
      <c r="R113" s="79"/>
      <c r="S113" s="79"/>
    </row>
    <row r="114" spans="1:19" ht="6" customHeight="1" x14ac:dyDescent="0.2">
      <c r="A114" s="151"/>
      <c r="B114" s="144"/>
      <c r="C114" s="2"/>
      <c r="D114" s="115"/>
      <c r="E114" s="192"/>
      <c r="F114" s="192"/>
      <c r="G114" s="192"/>
      <c r="H114" s="195"/>
      <c r="I114" s="194"/>
      <c r="J114" s="12"/>
      <c r="K114" s="12"/>
      <c r="N114" s="79"/>
      <c r="R114" s="79"/>
      <c r="S114" s="79"/>
    </row>
    <row r="115" spans="1:19" ht="15.95" customHeight="1" x14ac:dyDescent="0.2">
      <c r="A115" s="151" t="s">
        <v>148</v>
      </c>
      <c r="B115" s="144" t="s">
        <v>24</v>
      </c>
      <c r="C115" s="2" t="s">
        <v>142</v>
      </c>
      <c r="D115" s="115" t="s">
        <v>64</v>
      </c>
      <c r="E115" s="192">
        <f>ROUND((I115*J115)+K115,2)</f>
        <v>6790.66</v>
      </c>
      <c r="F115" s="192">
        <f>ROUND(E115*0.21,2)+0.01</f>
        <v>1426.05</v>
      </c>
      <c r="G115" s="192">
        <f>ROUND(E115+F115,0)</f>
        <v>8217</v>
      </c>
      <c r="H115" s="195" t="s">
        <v>65</v>
      </c>
      <c r="I115" s="194">
        <f>12023-11101</f>
        <v>922</v>
      </c>
      <c r="J115" s="12">
        <f>1.944+0.0283+2.40463+0.07712+0.495</f>
        <v>4.9490499999999997</v>
      </c>
      <c r="K115" s="12">
        <f>7.35*(99+199+5.08)</f>
        <v>2227.6379999999999</v>
      </c>
      <c r="N115" s="79"/>
      <c r="R115" s="79"/>
      <c r="S115" s="79"/>
    </row>
    <row r="116" spans="1:19" ht="15.95" customHeight="1" x14ac:dyDescent="0.2">
      <c r="A116" s="151" t="s">
        <v>149</v>
      </c>
      <c r="B116" s="144" t="s">
        <v>24</v>
      </c>
      <c r="C116" s="2" t="s">
        <v>144</v>
      </c>
      <c r="D116" s="115" t="s">
        <v>64</v>
      </c>
      <c r="E116" s="192">
        <f>ROUND((I116*J116)+K116,2)-0.01</f>
        <v>3997.6699999999996</v>
      </c>
      <c r="F116" s="192">
        <f>ROUND(E116*0.21,2)-0.02</f>
        <v>839.49</v>
      </c>
      <c r="G116" s="192">
        <f>ROUND(E116+F116,0)</f>
        <v>4837</v>
      </c>
      <c r="H116" s="195" t="s">
        <v>66</v>
      </c>
      <c r="I116" s="194">
        <f>12546-12023</f>
        <v>523</v>
      </c>
      <c r="J116" s="12">
        <f>1.944+0.0283+2.40463+0.07712+0.495</f>
        <v>4.9490499999999997</v>
      </c>
      <c r="K116" s="12">
        <f>4.65*(99+199+5.08)</f>
        <v>1409.3220000000001</v>
      </c>
      <c r="N116" s="79"/>
      <c r="R116" s="79"/>
      <c r="S116" s="79"/>
    </row>
    <row r="117" spans="1:19" s="5" customFormat="1" ht="15.75" customHeight="1" x14ac:dyDescent="0.2">
      <c r="A117" s="45"/>
      <c r="B117" s="20" t="s">
        <v>0</v>
      </c>
      <c r="C117" s="20"/>
      <c r="D117" s="21"/>
      <c r="E117" s="197">
        <f>SUM(E112:E116)</f>
        <v>16323.609999999999</v>
      </c>
      <c r="F117" s="197">
        <f>SUM(F112:F116)</f>
        <v>3427.95</v>
      </c>
      <c r="G117" s="46">
        <f>SUM(G112:G116)</f>
        <v>19751</v>
      </c>
      <c r="H117" s="22"/>
      <c r="I117" s="47">
        <f>SUM(I112:I116)</f>
        <v>2008</v>
      </c>
      <c r="J117" s="47"/>
      <c r="K117" s="22"/>
      <c r="L117" s="48"/>
      <c r="M117" s="75"/>
    </row>
    <row r="118" spans="1:19" s="15" customFormat="1" ht="15.75" customHeight="1" thickBot="1" x14ac:dyDescent="0.25">
      <c r="A118" s="23"/>
      <c r="B118" s="24" t="s">
        <v>34</v>
      </c>
      <c r="D118" s="49"/>
      <c r="E118" s="50"/>
      <c r="F118" s="50"/>
      <c r="G118" s="51">
        <f>G102+G108+G117</f>
        <v>57456</v>
      </c>
      <c r="H118" s="50"/>
      <c r="I118" s="52"/>
      <c r="J118" s="52"/>
      <c r="K118" s="52"/>
      <c r="L118" s="53"/>
      <c r="M118" s="16"/>
    </row>
    <row r="119" spans="1:19" ht="15.95" customHeight="1" thickTop="1" x14ac:dyDescent="0.2">
      <c r="A119" s="87"/>
      <c r="D119" s="81"/>
      <c r="E119" s="101"/>
      <c r="F119" s="101"/>
      <c r="G119" s="101"/>
      <c r="H119" s="98"/>
      <c r="I119" s="80"/>
      <c r="J119" s="80"/>
      <c r="K119" s="98"/>
      <c r="N119" s="79"/>
      <c r="R119" s="79"/>
      <c r="S119" s="79"/>
    </row>
    <row r="120" spans="1:19" s="5" customFormat="1" ht="15.75" customHeight="1" x14ac:dyDescent="0.25">
      <c r="A120" s="2"/>
      <c r="B120" s="3" t="s">
        <v>67</v>
      </c>
      <c r="D120" s="7"/>
      <c r="E120" s="75"/>
      <c r="N120" s="75"/>
      <c r="O120" s="75"/>
    </row>
    <row r="121" spans="1:19" ht="15.95" customHeight="1" x14ac:dyDescent="0.2">
      <c r="B121" s="79" t="s">
        <v>1</v>
      </c>
      <c r="C121" s="79" t="s">
        <v>2</v>
      </c>
      <c r="D121" s="187"/>
      <c r="E121" s="139" t="s">
        <v>6</v>
      </c>
      <c r="F121" s="139" t="s">
        <v>9</v>
      </c>
      <c r="G121" s="187" t="s">
        <v>0</v>
      </c>
      <c r="H121" s="187"/>
      <c r="I121" s="187" t="s">
        <v>10</v>
      </c>
      <c r="J121" s="139" t="s">
        <v>11</v>
      </c>
      <c r="K121" s="196" t="s">
        <v>12</v>
      </c>
      <c r="N121" s="79"/>
      <c r="R121" s="79"/>
      <c r="S121" s="79"/>
    </row>
    <row r="122" spans="1:19" ht="15.95" customHeight="1" x14ac:dyDescent="0.2">
      <c r="A122" s="151" t="s">
        <v>150</v>
      </c>
      <c r="B122" s="144" t="s">
        <v>24</v>
      </c>
      <c r="C122" s="2" t="s">
        <v>142</v>
      </c>
      <c r="D122" s="115" t="s">
        <v>68</v>
      </c>
      <c r="E122" s="192">
        <f>ROUND((I122*J122)+K122,2)+0.01</f>
        <v>2940.8100000000004</v>
      </c>
      <c r="F122" s="192">
        <f>ROUND(E122*0.21,2)-0.02</f>
        <v>617.55000000000007</v>
      </c>
      <c r="G122" s="192">
        <f t="shared" ref="G122:G126" si="15">ROUND(E122+F122,0)</f>
        <v>3558</v>
      </c>
      <c r="H122" s="195" t="s">
        <v>69</v>
      </c>
      <c r="I122" s="194">
        <f>5989-5735</f>
        <v>254</v>
      </c>
      <c r="J122" s="12">
        <f>1.944+0.0283+2.40463+0.07712+0.495</f>
        <v>4.9490499999999997</v>
      </c>
      <c r="K122" s="12">
        <f>7.35*(99+125+5.08)</f>
        <v>1683.7380000000001</v>
      </c>
      <c r="N122" s="79"/>
      <c r="R122" s="79"/>
      <c r="S122" s="79"/>
    </row>
    <row r="123" spans="1:19" ht="15.95" customHeight="1" x14ac:dyDescent="0.2">
      <c r="A123" s="151" t="s">
        <v>151</v>
      </c>
      <c r="B123" s="144" t="s">
        <v>24</v>
      </c>
      <c r="C123" s="2" t="s">
        <v>144</v>
      </c>
      <c r="D123" s="115" t="s">
        <v>68</v>
      </c>
      <c r="E123" s="192">
        <f>ROUND((I123*J123)+K123,2)</f>
        <v>1713.55</v>
      </c>
      <c r="F123" s="192">
        <f>ROUND(E123*0.21,2)-0.01</f>
        <v>359.84000000000003</v>
      </c>
      <c r="G123" s="192">
        <f t="shared" si="15"/>
        <v>2073</v>
      </c>
      <c r="H123" s="195" t="s">
        <v>70</v>
      </c>
      <c r="I123" s="194">
        <f>6120-5989</f>
        <v>131</v>
      </c>
      <c r="J123" s="12">
        <f>1.944+0.0283+2.40463+0.07712+0.495</f>
        <v>4.9490499999999997</v>
      </c>
      <c r="K123" s="12">
        <f>4.65*(99+125+5.08)</f>
        <v>1065.2220000000002</v>
      </c>
      <c r="N123" s="79"/>
      <c r="R123" s="79"/>
      <c r="S123" s="79"/>
    </row>
    <row r="124" spans="1:19" ht="15.95" customHeight="1" x14ac:dyDescent="0.2">
      <c r="A124" s="151"/>
      <c r="B124" s="144"/>
      <c r="C124" s="2"/>
      <c r="D124" s="115"/>
      <c r="E124" s="192"/>
      <c r="F124" s="192"/>
      <c r="G124" s="192"/>
      <c r="H124" s="195"/>
      <c r="I124" s="194"/>
      <c r="J124" s="12"/>
      <c r="K124" s="12"/>
      <c r="N124" s="79"/>
      <c r="R124" s="79"/>
      <c r="S124" s="79"/>
    </row>
    <row r="125" spans="1:19" ht="15.95" customHeight="1" x14ac:dyDescent="0.2">
      <c r="A125" s="151" t="s">
        <v>152</v>
      </c>
      <c r="B125" s="144" t="s">
        <v>24</v>
      </c>
      <c r="C125" s="2" t="s">
        <v>142</v>
      </c>
      <c r="D125" s="115" t="s">
        <v>71</v>
      </c>
      <c r="E125" s="192">
        <f>ROUND((I125*J125)+K125,2)</f>
        <v>3900.91</v>
      </c>
      <c r="F125" s="192">
        <f>ROUND(E125*0.21,2)-0.01</f>
        <v>819.18000000000006</v>
      </c>
      <c r="G125" s="192">
        <f t="shared" si="15"/>
        <v>4720</v>
      </c>
      <c r="H125" s="195" t="s">
        <v>72</v>
      </c>
      <c r="I125" s="194">
        <f>7728-7280</f>
        <v>448</v>
      </c>
      <c r="J125" s="12">
        <f>1.944+0.0283+2.40463+0.07712+0.495</f>
        <v>4.9490499999999997</v>
      </c>
      <c r="K125" s="12">
        <f>7.35*(99+125+5.08)</f>
        <v>1683.7380000000001</v>
      </c>
      <c r="N125" s="79"/>
      <c r="R125" s="79"/>
      <c r="S125" s="79"/>
    </row>
    <row r="126" spans="1:19" ht="15.95" customHeight="1" x14ac:dyDescent="0.2">
      <c r="A126" s="151" t="s">
        <v>153</v>
      </c>
      <c r="B126" s="144" t="s">
        <v>24</v>
      </c>
      <c r="C126" s="2" t="s">
        <v>144</v>
      </c>
      <c r="D126" s="115" t="s">
        <v>71</v>
      </c>
      <c r="E126" s="192">
        <f>ROUND((I126*J126)+K126,2)</f>
        <v>3247.75</v>
      </c>
      <c r="F126" s="192">
        <f>ROUND(E126*0.21,2)+0.01</f>
        <v>682.04</v>
      </c>
      <c r="G126" s="192">
        <f t="shared" si="15"/>
        <v>3930</v>
      </c>
      <c r="H126" s="195" t="s">
        <v>73</v>
      </c>
      <c r="I126" s="194">
        <f>8169-7728</f>
        <v>441</v>
      </c>
      <c r="J126" s="12">
        <f>1.944+0.0283+2.40463+0.07712+0.495</f>
        <v>4.9490499999999997</v>
      </c>
      <c r="K126" s="12">
        <f>4.65*(99+125+5.08)</f>
        <v>1065.2220000000002</v>
      </c>
      <c r="N126" s="79"/>
      <c r="R126" s="79"/>
      <c r="S126" s="79"/>
    </row>
    <row r="127" spans="1:19" s="15" customFormat="1" ht="15.75" customHeight="1" thickBot="1" x14ac:dyDescent="0.25">
      <c r="A127" s="23"/>
      <c r="B127" s="15" t="s">
        <v>0</v>
      </c>
      <c r="D127" s="16"/>
      <c r="E127" s="198">
        <f>SUM(E122:E126)</f>
        <v>11803.02</v>
      </c>
      <c r="F127" s="198">
        <f>SUM(F122:F126)</f>
        <v>2478.61</v>
      </c>
      <c r="G127" s="54">
        <f>SUM(G122:G126)</f>
        <v>14281</v>
      </c>
      <c r="H127" s="17"/>
      <c r="I127" s="55">
        <f>SUM(I122:I126)</f>
        <v>1274</v>
      </c>
      <c r="J127" s="55"/>
      <c r="K127" s="17"/>
      <c r="N127" s="16"/>
      <c r="O127" s="16"/>
    </row>
    <row r="128" spans="1:19" ht="15.95" customHeight="1" thickTop="1" x14ac:dyDescent="0.2">
      <c r="A128" s="87"/>
      <c r="D128" s="81"/>
      <c r="E128" s="101"/>
      <c r="F128" s="101"/>
      <c r="G128" s="101"/>
      <c r="H128" s="98"/>
      <c r="I128" s="80"/>
      <c r="J128" s="80"/>
      <c r="K128" s="98"/>
      <c r="N128" s="79"/>
      <c r="R128" s="79"/>
      <c r="S128" s="79"/>
    </row>
    <row r="129" spans="1:19" s="5" customFormat="1" ht="15.75" customHeight="1" x14ac:dyDescent="0.25">
      <c r="A129" s="2"/>
      <c r="B129" s="3" t="s">
        <v>25</v>
      </c>
      <c r="C129" s="7"/>
      <c r="D129" s="75"/>
      <c r="O129" s="75"/>
      <c r="P129" s="75"/>
    </row>
    <row r="130" spans="1:19" ht="15.95" customHeight="1" x14ac:dyDescent="0.25">
      <c r="B130" s="79" t="s">
        <v>1</v>
      </c>
      <c r="C130" s="79" t="s">
        <v>2</v>
      </c>
      <c r="D130" s="81"/>
      <c r="E130" s="82" t="s">
        <v>6</v>
      </c>
      <c r="F130" s="82" t="s">
        <v>74</v>
      </c>
      <c r="G130" s="81" t="s">
        <v>0</v>
      </c>
      <c r="H130" s="56">
        <v>2537</v>
      </c>
      <c r="I130" s="56">
        <v>2538</v>
      </c>
      <c r="J130" s="56">
        <v>2539</v>
      </c>
      <c r="M130" s="77"/>
      <c r="N130" s="79"/>
      <c r="Q130" s="81"/>
      <c r="S130" s="79"/>
    </row>
    <row r="131" spans="1:19" ht="15.95" customHeight="1" x14ac:dyDescent="0.2">
      <c r="A131" s="199">
        <v>20190006</v>
      </c>
      <c r="B131" s="5" t="s">
        <v>92</v>
      </c>
      <c r="C131" s="5" t="s">
        <v>154</v>
      </c>
      <c r="D131" s="235">
        <v>2020002</v>
      </c>
      <c r="E131" s="195">
        <v>3086</v>
      </c>
      <c r="F131" s="195">
        <v>0</v>
      </c>
      <c r="G131" s="195">
        <f t="shared" ref="G131:G133" si="16">ROUND(SUM(E131:F131),1)</f>
        <v>3086</v>
      </c>
      <c r="H131" s="108">
        <f>G131</f>
        <v>3086</v>
      </c>
      <c r="I131" s="108"/>
      <c r="J131" s="108"/>
      <c r="M131" s="77"/>
      <c r="N131" s="79"/>
      <c r="Q131" s="81"/>
      <c r="S131" s="79"/>
    </row>
    <row r="132" spans="1:19" ht="15.95" customHeight="1" x14ac:dyDescent="0.2">
      <c r="A132" s="199"/>
      <c r="B132" s="5"/>
      <c r="C132" s="5" t="s">
        <v>155</v>
      </c>
      <c r="D132" s="236"/>
      <c r="E132" s="195">
        <v>3086</v>
      </c>
      <c r="F132" s="195">
        <v>0</v>
      </c>
      <c r="G132" s="195">
        <f t="shared" si="16"/>
        <v>3086</v>
      </c>
      <c r="H132" s="108"/>
      <c r="I132" s="108">
        <f>G132</f>
        <v>3086</v>
      </c>
      <c r="J132" s="108"/>
      <c r="M132" s="77"/>
      <c r="N132" s="79"/>
      <c r="Q132" s="81"/>
      <c r="S132" s="79"/>
    </row>
    <row r="133" spans="1:19" ht="15.95" customHeight="1" x14ac:dyDescent="0.2">
      <c r="A133" s="199"/>
      <c r="B133" s="5"/>
      <c r="C133" s="5" t="s">
        <v>156</v>
      </c>
      <c r="D133" s="236"/>
      <c r="E133" s="195">
        <v>3086</v>
      </c>
      <c r="F133" s="195">
        <v>0</v>
      </c>
      <c r="G133" s="195">
        <f t="shared" si="16"/>
        <v>3086</v>
      </c>
      <c r="H133" s="108"/>
      <c r="I133" s="108"/>
      <c r="J133" s="108">
        <f>G133</f>
        <v>3086</v>
      </c>
      <c r="M133" s="77"/>
      <c r="N133" s="79"/>
      <c r="Q133" s="81"/>
      <c r="S133" s="79"/>
    </row>
    <row r="134" spans="1:19" ht="15.95" customHeight="1" x14ac:dyDescent="0.2">
      <c r="A134" s="199">
        <v>20190011</v>
      </c>
      <c r="B134" s="5" t="s">
        <v>92</v>
      </c>
      <c r="C134" s="5" t="s">
        <v>157</v>
      </c>
      <c r="D134" s="235">
        <v>2020007</v>
      </c>
      <c r="E134" s="195">
        <v>3086</v>
      </c>
      <c r="F134" s="195">
        <v>0</v>
      </c>
      <c r="G134" s="195">
        <f t="shared" ref="G134:G136" si="17">ROUND(SUM(E134:F134),1)</f>
        <v>3086</v>
      </c>
      <c r="H134" s="108">
        <f>G134</f>
        <v>3086</v>
      </c>
      <c r="I134" s="108"/>
      <c r="J134" s="108"/>
      <c r="M134" s="77"/>
      <c r="N134" s="79"/>
      <c r="Q134" s="81"/>
      <c r="S134" s="79"/>
    </row>
    <row r="135" spans="1:19" ht="15.95" customHeight="1" x14ac:dyDescent="0.2">
      <c r="A135" s="199"/>
      <c r="B135" s="5"/>
      <c r="C135" s="5" t="s">
        <v>158</v>
      </c>
      <c r="D135" s="236"/>
      <c r="E135" s="195">
        <v>3086</v>
      </c>
      <c r="F135" s="195">
        <v>0</v>
      </c>
      <c r="G135" s="195">
        <f t="shared" si="17"/>
        <v>3086</v>
      </c>
      <c r="H135" s="108"/>
      <c r="I135" s="108">
        <f>G135</f>
        <v>3086</v>
      </c>
      <c r="J135" s="108"/>
      <c r="M135" s="77"/>
      <c r="N135" s="79"/>
      <c r="Q135" s="81"/>
      <c r="S135" s="79"/>
    </row>
    <row r="136" spans="1:19" ht="15.95" customHeight="1" x14ac:dyDescent="0.2">
      <c r="A136" s="199"/>
      <c r="B136" s="5"/>
      <c r="C136" s="5" t="s">
        <v>159</v>
      </c>
      <c r="D136" s="236"/>
      <c r="E136" s="195">
        <v>3086</v>
      </c>
      <c r="F136" s="195">
        <v>0</v>
      </c>
      <c r="G136" s="195">
        <f t="shared" si="17"/>
        <v>3086</v>
      </c>
      <c r="H136" s="108"/>
      <c r="I136" s="108"/>
      <c r="J136" s="108">
        <f>G136</f>
        <v>3086</v>
      </c>
      <c r="M136" s="77"/>
      <c r="N136" s="79"/>
      <c r="Q136" s="81"/>
      <c r="S136" s="79"/>
    </row>
    <row r="137" spans="1:19" ht="15.95" customHeight="1" x14ac:dyDescent="0.2">
      <c r="A137" s="199">
        <v>20190023</v>
      </c>
      <c r="B137" s="5" t="s">
        <v>92</v>
      </c>
      <c r="C137" s="5" t="s">
        <v>160</v>
      </c>
      <c r="D137" s="235">
        <v>2020012</v>
      </c>
      <c r="E137" s="195">
        <f>3086+300</f>
        <v>3386</v>
      </c>
      <c r="F137" s="195">
        <v>0</v>
      </c>
      <c r="G137" s="195">
        <f>ROUND(SUM(E137:F137),1)</f>
        <v>3386</v>
      </c>
      <c r="H137" s="108">
        <f>G137</f>
        <v>3386</v>
      </c>
      <c r="I137" s="108"/>
      <c r="J137" s="108"/>
      <c r="M137" s="77"/>
      <c r="N137" s="79"/>
      <c r="Q137" s="81"/>
      <c r="S137" s="79"/>
    </row>
    <row r="138" spans="1:19" ht="15.95" customHeight="1" x14ac:dyDescent="0.2">
      <c r="A138" s="199"/>
      <c r="B138" s="5"/>
      <c r="C138" s="5" t="s">
        <v>161</v>
      </c>
      <c r="D138" s="236"/>
      <c r="E138" s="195">
        <f t="shared" ref="E138:E139" si="18">3086+300</f>
        <v>3386</v>
      </c>
      <c r="F138" s="195">
        <v>0</v>
      </c>
      <c r="G138" s="195">
        <f>ROUND(SUM(E138:F138),1)</f>
        <v>3386</v>
      </c>
      <c r="H138" s="108"/>
      <c r="I138" s="108">
        <f>G138</f>
        <v>3386</v>
      </c>
      <c r="J138" s="108"/>
      <c r="M138" s="77"/>
      <c r="N138" s="79"/>
      <c r="Q138" s="81"/>
      <c r="S138" s="79"/>
    </row>
    <row r="139" spans="1:19" ht="15.95" customHeight="1" x14ac:dyDescent="0.2">
      <c r="A139" s="199"/>
      <c r="B139" s="5"/>
      <c r="C139" s="5" t="s">
        <v>162</v>
      </c>
      <c r="D139" s="236"/>
      <c r="E139" s="195">
        <f t="shared" si="18"/>
        <v>3386</v>
      </c>
      <c r="F139" s="195">
        <v>0</v>
      </c>
      <c r="G139" s="195">
        <f>ROUND(SUM(E139:F139),1)</f>
        <v>3386</v>
      </c>
      <c r="H139" s="108"/>
      <c r="I139" s="108"/>
      <c r="J139" s="108">
        <f>G139</f>
        <v>3386</v>
      </c>
      <c r="M139" s="77"/>
      <c r="N139" s="79"/>
      <c r="Q139" s="81"/>
      <c r="S139" s="79"/>
    </row>
    <row r="140" spans="1:19" ht="15.95" customHeight="1" x14ac:dyDescent="0.2">
      <c r="A140" s="199">
        <v>20710002</v>
      </c>
      <c r="B140" s="5" t="s">
        <v>163</v>
      </c>
      <c r="C140" s="5" t="s">
        <v>164</v>
      </c>
      <c r="D140" s="200">
        <v>75321</v>
      </c>
      <c r="E140" s="195">
        <v>120</v>
      </c>
      <c r="F140" s="195">
        <v>0</v>
      </c>
      <c r="G140" s="195">
        <f t="shared" ref="G140:G149" si="19">ROUND(SUM(E140:F140),1)</f>
        <v>120</v>
      </c>
      <c r="H140" s="108">
        <f>$G$140/3</f>
        <v>40</v>
      </c>
      <c r="I140" s="108">
        <f t="shared" ref="I140:J140" si="20">$G$140/3</f>
        <v>40</v>
      </c>
      <c r="J140" s="108">
        <f t="shared" si="20"/>
        <v>40</v>
      </c>
      <c r="M140" s="77"/>
      <c r="N140" s="79"/>
      <c r="Q140" s="81"/>
      <c r="S140" s="79"/>
    </row>
    <row r="141" spans="1:19" ht="15.95" customHeight="1" x14ac:dyDescent="0.2">
      <c r="A141" s="199">
        <v>20190030</v>
      </c>
      <c r="B141" s="5" t="s">
        <v>92</v>
      </c>
      <c r="C141" s="5" t="s">
        <v>165</v>
      </c>
      <c r="D141" s="235">
        <v>2020018</v>
      </c>
      <c r="E141" s="195">
        <f>3086+600</f>
        <v>3686</v>
      </c>
      <c r="F141" s="195">
        <v>0</v>
      </c>
      <c r="G141" s="195">
        <f t="shared" si="19"/>
        <v>3686</v>
      </c>
      <c r="H141" s="108">
        <f>G141</f>
        <v>3686</v>
      </c>
      <c r="I141" s="108"/>
      <c r="J141" s="108"/>
      <c r="M141" s="77"/>
      <c r="N141" s="79"/>
      <c r="Q141" s="81"/>
      <c r="S141" s="79"/>
    </row>
    <row r="142" spans="1:19" ht="15.95" customHeight="1" x14ac:dyDescent="0.2">
      <c r="A142" s="199"/>
      <c r="B142" s="5"/>
      <c r="C142" s="5" t="s">
        <v>166</v>
      </c>
      <c r="D142" s="236"/>
      <c r="E142" s="195">
        <f t="shared" ref="E142:E143" si="21">3086+600</f>
        <v>3686</v>
      </c>
      <c r="F142" s="195">
        <v>0</v>
      </c>
      <c r="G142" s="195">
        <f t="shared" si="19"/>
        <v>3686</v>
      </c>
      <c r="H142" s="108"/>
      <c r="I142" s="108">
        <f>G142</f>
        <v>3686</v>
      </c>
      <c r="J142" s="108"/>
      <c r="M142" s="77"/>
      <c r="N142" s="79"/>
      <c r="Q142" s="81"/>
      <c r="S142" s="79"/>
    </row>
    <row r="143" spans="1:19" ht="15.95" customHeight="1" x14ac:dyDescent="0.2">
      <c r="A143" s="199"/>
      <c r="B143" s="5"/>
      <c r="C143" s="5" t="s">
        <v>167</v>
      </c>
      <c r="D143" s="236"/>
      <c r="E143" s="195">
        <f t="shared" si="21"/>
        <v>3686</v>
      </c>
      <c r="F143" s="195">
        <v>0</v>
      </c>
      <c r="G143" s="195">
        <f t="shared" si="19"/>
        <v>3686</v>
      </c>
      <c r="H143" s="108"/>
      <c r="I143" s="108"/>
      <c r="J143" s="108">
        <f>G143</f>
        <v>3686</v>
      </c>
      <c r="M143" s="77"/>
      <c r="N143" s="79"/>
      <c r="Q143" s="81"/>
      <c r="S143" s="79"/>
    </row>
    <row r="144" spans="1:19" ht="15.95" customHeight="1" x14ac:dyDescent="0.2">
      <c r="A144" s="199">
        <v>20190040</v>
      </c>
      <c r="B144" s="5" t="s">
        <v>92</v>
      </c>
      <c r="C144" s="5" t="s">
        <v>168</v>
      </c>
      <c r="D144" s="235">
        <v>2020023</v>
      </c>
      <c r="E144" s="195">
        <f>3086+750</f>
        <v>3836</v>
      </c>
      <c r="F144" s="195">
        <v>0</v>
      </c>
      <c r="G144" s="195">
        <f t="shared" si="19"/>
        <v>3836</v>
      </c>
      <c r="H144" s="108">
        <f>G144</f>
        <v>3836</v>
      </c>
      <c r="I144" s="108"/>
      <c r="J144" s="108"/>
      <c r="M144" s="77"/>
      <c r="N144" s="79"/>
      <c r="Q144" s="81"/>
      <c r="S144" s="79"/>
    </row>
    <row r="145" spans="1:19" ht="15.95" customHeight="1" x14ac:dyDescent="0.2">
      <c r="A145" s="199"/>
      <c r="B145" s="5"/>
      <c r="C145" s="5" t="s">
        <v>169</v>
      </c>
      <c r="D145" s="236"/>
      <c r="E145" s="195">
        <f t="shared" ref="E145:E146" si="22">3086+750</f>
        <v>3836</v>
      </c>
      <c r="F145" s="195">
        <v>0</v>
      </c>
      <c r="G145" s="195">
        <f t="shared" si="19"/>
        <v>3836</v>
      </c>
      <c r="H145" s="108"/>
      <c r="I145" s="108">
        <f>G145</f>
        <v>3836</v>
      </c>
      <c r="J145" s="108"/>
      <c r="M145" s="77"/>
      <c r="N145" s="79"/>
      <c r="Q145" s="81"/>
      <c r="S145" s="79"/>
    </row>
    <row r="146" spans="1:19" ht="15.95" customHeight="1" x14ac:dyDescent="0.2">
      <c r="A146" s="199"/>
      <c r="B146" s="5"/>
      <c r="C146" s="5" t="s">
        <v>170</v>
      </c>
      <c r="D146" s="236"/>
      <c r="E146" s="195">
        <f t="shared" si="22"/>
        <v>3836</v>
      </c>
      <c r="F146" s="195">
        <v>0</v>
      </c>
      <c r="G146" s="195">
        <f t="shared" si="19"/>
        <v>3836</v>
      </c>
      <c r="H146" s="108"/>
      <c r="I146" s="108"/>
      <c r="J146" s="108">
        <f>G146</f>
        <v>3836</v>
      </c>
      <c r="M146" s="77"/>
      <c r="N146" s="79"/>
      <c r="Q146" s="81"/>
      <c r="S146" s="79"/>
    </row>
    <row r="147" spans="1:19" ht="15.95" customHeight="1" x14ac:dyDescent="0.2">
      <c r="A147" s="199">
        <v>20190046</v>
      </c>
      <c r="B147" s="5" t="s">
        <v>92</v>
      </c>
      <c r="C147" s="5" t="s">
        <v>171</v>
      </c>
      <c r="D147" s="235">
        <v>2020028</v>
      </c>
      <c r="E147" s="195">
        <f>3086</f>
        <v>3086</v>
      </c>
      <c r="F147" s="195">
        <v>0</v>
      </c>
      <c r="G147" s="195">
        <f t="shared" si="19"/>
        <v>3086</v>
      </c>
      <c r="H147" s="108">
        <f>G147</f>
        <v>3086</v>
      </c>
      <c r="I147" s="108"/>
      <c r="J147" s="108"/>
      <c r="M147" s="77"/>
      <c r="N147" s="79"/>
      <c r="Q147" s="81"/>
      <c r="S147" s="79"/>
    </row>
    <row r="148" spans="1:19" ht="15.95" customHeight="1" x14ac:dyDescent="0.2">
      <c r="A148" s="199"/>
      <c r="B148" s="5"/>
      <c r="C148" s="5" t="s">
        <v>172</v>
      </c>
      <c r="D148" s="236"/>
      <c r="E148" s="195">
        <f>3086</f>
        <v>3086</v>
      </c>
      <c r="F148" s="195">
        <v>0</v>
      </c>
      <c r="G148" s="195">
        <f t="shared" si="19"/>
        <v>3086</v>
      </c>
      <c r="H148" s="108"/>
      <c r="I148" s="108">
        <f>G148</f>
        <v>3086</v>
      </c>
      <c r="J148" s="108"/>
      <c r="M148" s="77"/>
      <c r="N148" s="79"/>
      <c r="Q148" s="81"/>
      <c r="S148" s="79"/>
    </row>
    <row r="149" spans="1:19" ht="15.95" customHeight="1" x14ac:dyDescent="0.2">
      <c r="A149" s="199"/>
      <c r="B149" s="5"/>
      <c r="C149" s="5" t="s">
        <v>173</v>
      </c>
      <c r="D149" s="236"/>
      <c r="E149" s="195">
        <f>3086</f>
        <v>3086</v>
      </c>
      <c r="F149" s="195">
        <v>0</v>
      </c>
      <c r="G149" s="195">
        <f t="shared" si="19"/>
        <v>3086</v>
      </c>
      <c r="H149" s="108"/>
      <c r="I149" s="108"/>
      <c r="J149" s="108">
        <f>G149</f>
        <v>3086</v>
      </c>
      <c r="M149" s="77"/>
      <c r="N149" s="79"/>
      <c r="Q149" s="81"/>
      <c r="S149" s="79"/>
    </row>
    <row r="150" spans="1:19" ht="15.95" customHeight="1" x14ac:dyDescent="0.2">
      <c r="A150" s="199">
        <v>20190058</v>
      </c>
      <c r="B150" s="5" t="s">
        <v>92</v>
      </c>
      <c r="C150" s="5" t="s">
        <v>174</v>
      </c>
      <c r="D150" s="235">
        <v>2020035</v>
      </c>
      <c r="E150" s="195">
        <v>2805.45</v>
      </c>
      <c r="F150" s="195">
        <f>E150*0.1</f>
        <v>280.54500000000002</v>
      </c>
      <c r="G150" s="195">
        <f>ROUND(SUM(E150:F150),2)</f>
        <v>3086</v>
      </c>
      <c r="H150" s="108">
        <f>G150</f>
        <v>3086</v>
      </c>
      <c r="I150" s="108"/>
      <c r="J150" s="108"/>
      <c r="M150" s="77"/>
      <c r="N150" s="79"/>
      <c r="Q150" s="81"/>
      <c r="S150" s="79"/>
    </row>
    <row r="151" spans="1:19" ht="15.95" customHeight="1" x14ac:dyDescent="0.2">
      <c r="A151" s="199"/>
      <c r="B151" s="5"/>
      <c r="C151" s="5" t="s">
        <v>175</v>
      </c>
      <c r="D151" s="236"/>
      <c r="E151" s="195">
        <v>2805.45</v>
      </c>
      <c r="F151" s="195">
        <f t="shared" ref="F151:F152" si="23">E151*0.1</f>
        <v>280.54500000000002</v>
      </c>
      <c r="G151" s="195">
        <f t="shared" ref="G151:G152" si="24">ROUND(SUM(E151:F151),2)</f>
        <v>3086</v>
      </c>
      <c r="H151" s="108"/>
      <c r="I151" s="108">
        <f>G151</f>
        <v>3086</v>
      </c>
      <c r="J151" s="108"/>
      <c r="M151" s="77"/>
      <c r="N151" s="79"/>
      <c r="Q151" s="81"/>
      <c r="S151" s="79"/>
    </row>
    <row r="152" spans="1:19" ht="15.95" customHeight="1" x14ac:dyDescent="0.2">
      <c r="A152" s="199"/>
      <c r="B152" s="5"/>
      <c r="C152" s="5" t="s">
        <v>176</v>
      </c>
      <c r="D152" s="236"/>
      <c r="E152" s="195">
        <v>2805.45</v>
      </c>
      <c r="F152" s="195">
        <f t="shared" si="23"/>
        <v>280.54500000000002</v>
      </c>
      <c r="G152" s="195">
        <f t="shared" si="24"/>
        <v>3086</v>
      </c>
      <c r="H152" s="108"/>
      <c r="I152" s="108"/>
      <c r="J152" s="108">
        <f>G152</f>
        <v>3086</v>
      </c>
      <c r="M152" s="77"/>
      <c r="N152" s="79"/>
      <c r="Q152" s="81"/>
      <c r="S152" s="79"/>
    </row>
    <row r="153" spans="1:19" ht="15.95" customHeight="1" x14ac:dyDescent="0.2">
      <c r="A153" s="199">
        <v>20190068</v>
      </c>
      <c r="B153" s="5" t="s">
        <v>92</v>
      </c>
      <c r="C153" s="5" t="s">
        <v>177</v>
      </c>
      <c r="D153" s="235">
        <v>2020040</v>
      </c>
      <c r="E153" s="195">
        <v>2805.45</v>
      </c>
      <c r="F153" s="195">
        <f>E153*0.1</f>
        <v>280.54500000000002</v>
      </c>
      <c r="G153" s="195">
        <f>ROUND(SUM(E153:F153),2)</f>
        <v>3086</v>
      </c>
      <c r="H153" s="108">
        <f>G153</f>
        <v>3086</v>
      </c>
      <c r="I153" s="108"/>
      <c r="J153" s="108"/>
      <c r="M153" s="77"/>
      <c r="N153" s="79"/>
      <c r="Q153" s="81"/>
      <c r="S153" s="79"/>
    </row>
    <row r="154" spans="1:19" ht="15.95" customHeight="1" x14ac:dyDescent="0.2">
      <c r="A154" s="199"/>
      <c r="B154" s="5"/>
      <c r="C154" s="5" t="s">
        <v>178</v>
      </c>
      <c r="D154" s="236"/>
      <c r="E154" s="195">
        <v>2805.45</v>
      </c>
      <c r="F154" s="195">
        <f t="shared" ref="F154:F155" si="25">E154*0.1</f>
        <v>280.54500000000002</v>
      </c>
      <c r="G154" s="195">
        <f t="shared" ref="G154:G155" si="26">ROUND(SUM(E154:F154),2)</f>
        <v>3086</v>
      </c>
      <c r="H154" s="108"/>
      <c r="I154" s="108">
        <f>G154</f>
        <v>3086</v>
      </c>
      <c r="J154" s="108"/>
      <c r="M154" s="77"/>
      <c r="N154" s="79"/>
      <c r="Q154" s="81"/>
      <c r="S154" s="79"/>
    </row>
    <row r="155" spans="1:19" ht="15.95" customHeight="1" x14ac:dyDescent="0.2">
      <c r="A155" s="199"/>
      <c r="B155" s="5"/>
      <c r="C155" s="5" t="s">
        <v>179</v>
      </c>
      <c r="D155" s="236"/>
      <c r="E155" s="195">
        <v>2805.45</v>
      </c>
      <c r="F155" s="195">
        <f t="shared" si="25"/>
        <v>280.54500000000002</v>
      </c>
      <c r="G155" s="195">
        <f t="shared" si="26"/>
        <v>3086</v>
      </c>
      <c r="H155" s="108"/>
      <c r="I155" s="108"/>
      <c r="J155" s="108">
        <f>G155</f>
        <v>3086</v>
      </c>
      <c r="M155" s="77"/>
      <c r="N155" s="79"/>
      <c r="Q155" s="81"/>
      <c r="S155" s="79"/>
    </row>
    <row r="156" spans="1:19" ht="15.95" customHeight="1" x14ac:dyDescent="0.2">
      <c r="A156" s="199">
        <v>20190078</v>
      </c>
      <c r="B156" s="5" t="s">
        <v>92</v>
      </c>
      <c r="C156" s="5" t="s">
        <v>180</v>
      </c>
      <c r="D156" s="235">
        <v>2020051</v>
      </c>
      <c r="E156" s="195">
        <v>2805.45</v>
      </c>
      <c r="F156" s="195">
        <f>E156*0.1</f>
        <v>280.54500000000002</v>
      </c>
      <c r="G156" s="195">
        <f>ROUND(SUM(E156:F156),2)-0.01</f>
        <v>3085.99</v>
      </c>
      <c r="H156" s="108">
        <f>G156</f>
        <v>3085.99</v>
      </c>
      <c r="I156" s="108"/>
      <c r="J156" s="108"/>
      <c r="M156" s="77"/>
      <c r="N156" s="79"/>
      <c r="Q156" s="81"/>
      <c r="S156" s="79"/>
    </row>
    <row r="157" spans="1:19" ht="15.95" customHeight="1" x14ac:dyDescent="0.2">
      <c r="A157" s="199"/>
      <c r="B157" s="5"/>
      <c r="C157" s="5" t="s">
        <v>181</v>
      </c>
      <c r="D157" s="236"/>
      <c r="E157" s="195">
        <v>2805.45</v>
      </c>
      <c r="F157" s="195">
        <f t="shared" ref="F157:F158" si="27">E157*0.1</f>
        <v>280.54500000000002</v>
      </c>
      <c r="G157" s="195">
        <f t="shared" ref="G157:G158" si="28">ROUND(SUM(E157:F157),2)</f>
        <v>3086</v>
      </c>
      <c r="H157" s="108"/>
      <c r="I157" s="108">
        <f>G157</f>
        <v>3086</v>
      </c>
      <c r="J157" s="108"/>
      <c r="M157" s="77"/>
      <c r="N157" s="79"/>
      <c r="Q157" s="81"/>
      <c r="S157" s="79"/>
    </row>
    <row r="158" spans="1:19" ht="15.95" customHeight="1" x14ac:dyDescent="0.2">
      <c r="A158" s="199"/>
      <c r="B158" s="5"/>
      <c r="C158" s="5" t="s">
        <v>182</v>
      </c>
      <c r="D158" s="236"/>
      <c r="E158" s="195">
        <v>2805.45</v>
      </c>
      <c r="F158" s="195">
        <f t="shared" si="27"/>
        <v>280.54500000000002</v>
      </c>
      <c r="G158" s="195">
        <f t="shared" si="28"/>
        <v>3086</v>
      </c>
      <c r="H158" s="108"/>
      <c r="I158" s="108"/>
      <c r="J158" s="108">
        <f>G158</f>
        <v>3086</v>
      </c>
      <c r="M158" s="77"/>
      <c r="N158" s="79"/>
      <c r="Q158" s="81"/>
      <c r="S158" s="79"/>
    </row>
    <row r="159" spans="1:19" ht="15.95" customHeight="1" x14ac:dyDescent="0.2">
      <c r="A159" s="199">
        <v>20190096</v>
      </c>
      <c r="B159" s="5" t="s">
        <v>92</v>
      </c>
      <c r="C159" s="5" t="s">
        <v>183</v>
      </c>
      <c r="D159" s="235">
        <v>2020060</v>
      </c>
      <c r="E159" s="195">
        <v>2805.45</v>
      </c>
      <c r="F159" s="195">
        <f>E159*0.1</f>
        <v>280.54500000000002</v>
      </c>
      <c r="G159" s="195">
        <f>ROUND(SUM(E159:F159),2)</f>
        <v>3086</v>
      </c>
      <c r="H159" s="108">
        <f>G159</f>
        <v>3086</v>
      </c>
      <c r="I159" s="108"/>
      <c r="J159" s="108"/>
      <c r="M159" s="77"/>
      <c r="N159" s="79"/>
      <c r="Q159" s="81"/>
      <c r="S159" s="79"/>
    </row>
    <row r="160" spans="1:19" ht="15.95" customHeight="1" x14ac:dyDescent="0.2">
      <c r="A160" s="199"/>
      <c r="B160" s="5"/>
      <c r="C160" s="5" t="s">
        <v>184</v>
      </c>
      <c r="D160" s="236"/>
      <c r="E160" s="195">
        <v>2805.45</v>
      </c>
      <c r="F160" s="195">
        <f t="shared" ref="F160:F161" si="29">E160*0.1</f>
        <v>280.54500000000002</v>
      </c>
      <c r="G160" s="195">
        <f>ROUND(SUM(E160:F160),2)-0.01</f>
        <v>3085.99</v>
      </c>
      <c r="H160" s="108"/>
      <c r="I160" s="108">
        <f>G160</f>
        <v>3085.99</v>
      </c>
      <c r="J160" s="108"/>
      <c r="M160" s="77"/>
      <c r="N160" s="79"/>
      <c r="Q160" s="81"/>
      <c r="S160" s="79"/>
    </row>
    <row r="161" spans="1:19" ht="15.95" customHeight="1" x14ac:dyDescent="0.2">
      <c r="A161" s="199"/>
      <c r="B161" s="5"/>
      <c r="C161" s="5" t="s">
        <v>185</v>
      </c>
      <c r="D161" s="236"/>
      <c r="E161" s="195">
        <v>2805.45</v>
      </c>
      <c r="F161" s="195">
        <f t="shared" si="29"/>
        <v>280.54500000000002</v>
      </c>
      <c r="G161" s="195">
        <f t="shared" ref="G161" si="30">ROUND(SUM(E161:F161),2)</f>
        <v>3086</v>
      </c>
      <c r="H161" s="108"/>
      <c r="I161" s="108"/>
      <c r="J161" s="108">
        <f>G161</f>
        <v>3086</v>
      </c>
      <c r="M161" s="77"/>
      <c r="N161" s="79"/>
      <c r="Q161" s="81"/>
      <c r="S161" s="79"/>
    </row>
    <row r="162" spans="1:19" ht="15.95" customHeight="1" x14ac:dyDescent="0.2">
      <c r="A162" s="199">
        <v>20190103</v>
      </c>
      <c r="B162" s="5" t="s">
        <v>92</v>
      </c>
      <c r="C162" s="5" t="s">
        <v>186</v>
      </c>
      <c r="D162" s="235">
        <v>2020063</v>
      </c>
      <c r="E162" s="195">
        <v>2805.45</v>
      </c>
      <c r="F162" s="195">
        <f>E162*0.1</f>
        <v>280.54500000000002</v>
      </c>
      <c r="G162" s="195">
        <f>ROUND(SUM(E162:F162),2)</f>
        <v>3086</v>
      </c>
      <c r="H162" s="108">
        <f>G162</f>
        <v>3086</v>
      </c>
      <c r="I162" s="108"/>
      <c r="J162" s="108"/>
      <c r="M162" s="77"/>
      <c r="N162" s="79"/>
      <c r="Q162" s="81"/>
      <c r="S162" s="79"/>
    </row>
    <row r="163" spans="1:19" ht="15.95" customHeight="1" x14ac:dyDescent="0.2">
      <c r="A163" s="199"/>
      <c r="B163" s="5"/>
      <c r="C163" s="5" t="s">
        <v>187</v>
      </c>
      <c r="D163" s="236"/>
      <c r="E163" s="195">
        <v>2805.45</v>
      </c>
      <c r="F163" s="195">
        <f t="shared" ref="F163:F164" si="31">E163*0.1</f>
        <v>280.54500000000002</v>
      </c>
      <c r="G163" s="195">
        <f t="shared" ref="G163" si="32">ROUND(SUM(E163:F163),2)</f>
        <v>3086</v>
      </c>
      <c r="H163" s="108"/>
      <c r="I163" s="108">
        <f>G163</f>
        <v>3086</v>
      </c>
      <c r="J163" s="108"/>
      <c r="M163" s="77"/>
      <c r="N163" s="79"/>
      <c r="Q163" s="81"/>
      <c r="S163" s="79"/>
    </row>
    <row r="164" spans="1:19" ht="15.95" customHeight="1" x14ac:dyDescent="0.2">
      <c r="A164" s="199"/>
      <c r="B164" s="5"/>
      <c r="C164" s="5" t="s">
        <v>188</v>
      </c>
      <c r="D164" s="236"/>
      <c r="E164" s="195">
        <v>2805.45</v>
      </c>
      <c r="F164" s="195">
        <f t="shared" si="31"/>
        <v>280.54500000000002</v>
      </c>
      <c r="G164" s="195">
        <f>ROUND(SUM(E164:F164),2)-0.01</f>
        <v>3085.99</v>
      </c>
      <c r="H164" s="108"/>
      <c r="I164" s="108"/>
      <c r="J164" s="108">
        <f>G164</f>
        <v>3085.99</v>
      </c>
      <c r="M164" s="77"/>
      <c r="N164" s="79"/>
      <c r="Q164" s="81"/>
      <c r="S164" s="79"/>
    </row>
    <row r="165" spans="1:19" ht="15.95" customHeight="1" x14ac:dyDescent="0.2">
      <c r="A165" s="199">
        <v>20190116</v>
      </c>
      <c r="B165" s="5" t="s">
        <v>92</v>
      </c>
      <c r="C165" s="5" t="s">
        <v>189</v>
      </c>
      <c r="D165" s="235">
        <v>20200068</v>
      </c>
      <c r="E165" s="195">
        <f>ROUND(12376.36/3,2)</f>
        <v>4125.45</v>
      </c>
      <c r="F165" s="195">
        <f>E165*0.1</f>
        <v>412.54500000000002</v>
      </c>
      <c r="G165" s="195">
        <f>ROUND(SUM(E165:F165),2)</f>
        <v>4538</v>
      </c>
      <c r="H165" s="108">
        <f>G165</f>
        <v>4538</v>
      </c>
      <c r="I165" s="108"/>
      <c r="J165" s="108"/>
      <c r="M165" s="77"/>
      <c r="N165" s="79"/>
      <c r="Q165" s="81"/>
      <c r="S165" s="79"/>
    </row>
    <row r="166" spans="1:19" ht="15.95" customHeight="1" x14ac:dyDescent="0.2">
      <c r="A166" s="199"/>
      <c r="B166" s="5"/>
      <c r="C166" s="5" t="s">
        <v>190</v>
      </c>
      <c r="D166" s="236"/>
      <c r="E166" s="195">
        <f t="shared" ref="E166:E167" si="33">ROUND(12376.36/3,2)</f>
        <v>4125.45</v>
      </c>
      <c r="F166" s="195">
        <f t="shared" ref="F166:F167" si="34">E166*0.1</f>
        <v>412.54500000000002</v>
      </c>
      <c r="G166" s="195">
        <f t="shared" ref="G166" si="35">ROUND(SUM(E166:F166),2)</f>
        <v>4538</v>
      </c>
      <c r="H166" s="108"/>
      <c r="I166" s="108">
        <f>G166</f>
        <v>4538</v>
      </c>
      <c r="J166" s="108"/>
      <c r="M166" s="77"/>
      <c r="N166" s="79"/>
      <c r="Q166" s="81"/>
      <c r="S166" s="79"/>
    </row>
    <row r="167" spans="1:19" ht="15.95" customHeight="1" x14ac:dyDescent="0.2">
      <c r="A167" s="199"/>
      <c r="B167" s="5"/>
      <c r="C167" s="5" t="s">
        <v>191</v>
      </c>
      <c r="D167" s="236"/>
      <c r="E167" s="195">
        <f t="shared" si="33"/>
        <v>4125.45</v>
      </c>
      <c r="F167" s="195">
        <f t="shared" si="34"/>
        <v>412.54500000000002</v>
      </c>
      <c r="G167" s="195">
        <f>ROUND(SUM(E167:F167),2)</f>
        <v>4538</v>
      </c>
      <c r="H167" s="108"/>
      <c r="I167" s="108"/>
      <c r="J167" s="108">
        <f>G167</f>
        <v>4538</v>
      </c>
      <c r="N167" s="81"/>
      <c r="O167" s="81"/>
      <c r="R167" s="79"/>
      <c r="S167" s="79"/>
    </row>
    <row r="168" spans="1:19" ht="15.95" customHeight="1" thickBot="1" x14ac:dyDescent="0.25">
      <c r="A168" s="201"/>
      <c r="B168" s="202"/>
      <c r="C168" s="202"/>
      <c r="D168" s="203"/>
      <c r="E168" s="207">
        <f>SUM(E131:E167)</f>
        <v>115076.09999999995</v>
      </c>
      <c r="F168" s="207">
        <f t="shared" ref="F168:G168" si="36">SUM(F131:F167)</f>
        <v>5445.81</v>
      </c>
      <c r="G168" s="207">
        <f t="shared" si="36"/>
        <v>120521.97000000002</v>
      </c>
      <c r="H168" s="76">
        <f>SUM(H131:H167)</f>
        <v>40173.99</v>
      </c>
      <c r="I168" s="76">
        <f t="shared" ref="I168:J168" si="37">SUM(I131:I167)</f>
        <v>40173.99</v>
      </c>
      <c r="J168" s="76">
        <f t="shared" si="37"/>
        <v>40173.99</v>
      </c>
      <c r="M168" s="77"/>
      <c r="N168" s="79"/>
      <c r="Q168" s="81"/>
      <c r="S168" s="79"/>
    </row>
    <row r="169" spans="1:19" ht="15.95" customHeight="1" thickTop="1" x14ac:dyDescent="0.2">
      <c r="A169" s="204"/>
      <c r="B169" s="205"/>
      <c r="C169" s="205"/>
      <c r="D169" s="206"/>
      <c r="E169" s="206"/>
      <c r="F169" s="206"/>
      <c r="G169" s="205"/>
      <c r="H169" s="208"/>
      <c r="I169" s="208"/>
      <c r="J169" s="208"/>
      <c r="M169" s="77"/>
      <c r="N169" s="79"/>
      <c r="Q169" s="81"/>
      <c r="S169" s="79"/>
    </row>
    <row r="170" spans="1:19" s="5" customFormat="1" ht="15.75" customHeight="1" x14ac:dyDescent="0.25">
      <c r="A170" s="2"/>
      <c r="B170" s="3" t="s">
        <v>26</v>
      </c>
      <c r="C170" s="7"/>
      <c r="D170" s="75"/>
      <c r="H170" s="13"/>
      <c r="I170" s="13"/>
      <c r="J170" s="13"/>
      <c r="N170" s="2"/>
      <c r="R170" s="75"/>
      <c r="S170" s="75"/>
    </row>
    <row r="171" spans="1:19" ht="15.95" customHeight="1" x14ac:dyDescent="0.2">
      <c r="B171" s="79" t="s">
        <v>1</v>
      </c>
      <c r="C171" s="79" t="s">
        <v>2</v>
      </c>
      <c r="D171" s="81"/>
      <c r="E171" s="139" t="s">
        <v>6</v>
      </c>
      <c r="F171" s="139" t="s">
        <v>14</v>
      </c>
      <c r="G171" s="81" t="s">
        <v>0</v>
      </c>
      <c r="H171" s="89"/>
      <c r="L171" s="77"/>
      <c r="N171" s="79"/>
      <c r="P171" s="81"/>
      <c r="Q171" s="81"/>
      <c r="R171" s="79"/>
      <c r="S171" s="79"/>
    </row>
    <row r="172" spans="1:19" ht="15.95" customHeight="1" x14ac:dyDescent="0.2">
      <c r="A172" s="199">
        <v>20190006</v>
      </c>
      <c r="B172" s="5" t="s">
        <v>92</v>
      </c>
      <c r="C172" s="5" t="s">
        <v>192</v>
      </c>
      <c r="D172" s="235">
        <v>2020002</v>
      </c>
      <c r="E172" s="195">
        <f t="shared" ref="E172:E177" si="38">266+1452</f>
        <v>1718</v>
      </c>
      <c r="F172" s="195">
        <v>0</v>
      </c>
      <c r="G172" s="195">
        <f t="shared" ref="G172" si="39">ROUND(SUM(E172:F172),2)</f>
        <v>1718</v>
      </c>
      <c r="H172" s="89"/>
      <c r="L172" s="77"/>
      <c r="N172" s="79"/>
      <c r="P172" s="81"/>
      <c r="Q172" s="81"/>
      <c r="R172" s="79"/>
      <c r="S172" s="79"/>
    </row>
    <row r="173" spans="1:19" ht="15.95" customHeight="1" x14ac:dyDescent="0.2">
      <c r="A173" s="199"/>
      <c r="B173" s="5"/>
      <c r="C173" s="5" t="s">
        <v>193</v>
      </c>
      <c r="D173" s="236"/>
      <c r="E173" s="195">
        <f t="shared" si="38"/>
        <v>1718</v>
      </c>
      <c r="F173" s="195">
        <v>0</v>
      </c>
      <c r="G173" s="195">
        <f>ROUND(SUM(E173:F173),2)</f>
        <v>1718</v>
      </c>
      <c r="H173" s="89"/>
      <c r="L173" s="77"/>
      <c r="N173" s="79"/>
      <c r="P173" s="81"/>
      <c r="Q173" s="81"/>
      <c r="R173" s="79"/>
      <c r="S173" s="79"/>
    </row>
    <row r="174" spans="1:19" ht="15.95" customHeight="1" x14ac:dyDescent="0.2">
      <c r="A174" s="199"/>
      <c r="B174" s="5"/>
      <c r="C174" s="5" t="s">
        <v>194</v>
      </c>
      <c r="D174" s="236"/>
      <c r="E174" s="195">
        <f t="shared" si="38"/>
        <v>1718</v>
      </c>
      <c r="F174" s="195">
        <v>0</v>
      </c>
      <c r="G174" s="195">
        <f>ROUND(SUM(E174:F174),2)</f>
        <v>1718</v>
      </c>
      <c r="H174" s="89"/>
      <c r="L174" s="77"/>
      <c r="N174" s="79"/>
      <c r="P174" s="81"/>
      <c r="Q174" s="81"/>
      <c r="R174" s="79"/>
      <c r="S174" s="79"/>
    </row>
    <row r="175" spans="1:19" ht="15.95" customHeight="1" x14ac:dyDescent="0.2">
      <c r="A175" s="199">
        <v>20190011</v>
      </c>
      <c r="B175" s="5" t="s">
        <v>92</v>
      </c>
      <c r="C175" s="5" t="s">
        <v>195</v>
      </c>
      <c r="D175" s="235">
        <v>2020007</v>
      </c>
      <c r="E175" s="195">
        <f t="shared" si="38"/>
        <v>1718</v>
      </c>
      <c r="F175" s="195">
        <v>0</v>
      </c>
      <c r="G175" s="195">
        <f t="shared" ref="G175" si="40">ROUND(SUM(E175:F175),2)</f>
        <v>1718</v>
      </c>
      <c r="H175" s="89"/>
      <c r="L175" s="77"/>
      <c r="N175" s="79"/>
      <c r="P175" s="81"/>
      <c r="Q175" s="81"/>
      <c r="R175" s="79"/>
      <c r="S175" s="79"/>
    </row>
    <row r="176" spans="1:19" ht="15.95" customHeight="1" x14ac:dyDescent="0.2">
      <c r="A176" s="199"/>
      <c r="B176" s="5"/>
      <c r="C176" s="5" t="s">
        <v>196</v>
      </c>
      <c r="D176" s="236"/>
      <c r="E176" s="195">
        <f t="shared" si="38"/>
        <v>1718</v>
      </c>
      <c r="F176" s="195">
        <v>0</v>
      </c>
      <c r="G176" s="195">
        <f>ROUND(SUM(E176:F176),2)</f>
        <v>1718</v>
      </c>
      <c r="H176" s="89"/>
      <c r="L176" s="77"/>
      <c r="N176" s="79"/>
      <c r="P176" s="81"/>
      <c r="Q176" s="81"/>
      <c r="R176" s="79"/>
      <c r="S176" s="79"/>
    </row>
    <row r="177" spans="1:19" ht="15.95" customHeight="1" x14ac:dyDescent="0.2">
      <c r="A177" s="199"/>
      <c r="B177" s="5"/>
      <c r="C177" s="5" t="s">
        <v>197</v>
      </c>
      <c r="D177" s="236"/>
      <c r="E177" s="195">
        <f t="shared" si="38"/>
        <v>1718</v>
      </c>
      <c r="F177" s="195">
        <v>0</v>
      </c>
      <c r="G177" s="195">
        <f>ROUND(SUM(E177:F177),2)</f>
        <v>1718</v>
      </c>
      <c r="H177" s="89"/>
      <c r="L177" s="77"/>
      <c r="N177" s="79"/>
      <c r="P177" s="81"/>
      <c r="Q177" s="81"/>
      <c r="R177" s="79"/>
      <c r="S177" s="79"/>
    </row>
    <row r="178" spans="1:19" ht="15.95" customHeight="1" x14ac:dyDescent="0.2">
      <c r="A178" s="199">
        <v>20190023</v>
      </c>
      <c r="B178" s="5" t="s">
        <v>92</v>
      </c>
      <c r="C178" s="5" t="s">
        <v>198</v>
      </c>
      <c r="D178" s="235">
        <v>2020012</v>
      </c>
      <c r="E178" s="195">
        <f>266+1452+2283.34</f>
        <v>4001.34</v>
      </c>
      <c r="F178" s="195">
        <v>0</v>
      </c>
      <c r="G178" s="195">
        <f t="shared" ref="G178" si="41">ROUND(SUM(E178:F178),2)</f>
        <v>4001.34</v>
      </c>
      <c r="H178" s="89"/>
      <c r="L178" s="77"/>
      <c r="N178" s="79"/>
      <c r="P178" s="81"/>
      <c r="Q178" s="81"/>
      <c r="R178" s="79"/>
      <c r="S178" s="79"/>
    </row>
    <row r="179" spans="1:19" ht="15.95" customHeight="1" x14ac:dyDescent="0.2">
      <c r="A179" s="199"/>
      <c r="B179" s="5"/>
      <c r="C179" s="5" t="s">
        <v>199</v>
      </c>
      <c r="D179" s="236"/>
      <c r="E179" s="195">
        <f>266+1452+2283.33</f>
        <v>4001.33</v>
      </c>
      <c r="F179" s="195">
        <v>0</v>
      </c>
      <c r="G179" s="195">
        <f>ROUND(SUM(E179:F179),2)</f>
        <v>4001.33</v>
      </c>
      <c r="H179" s="89"/>
      <c r="L179" s="77"/>
      <c r="N179" s="79"/>
      <c r="P179" s="81"/>
      <c r="Q179" s="81"/>
      <c r="R179" s="79"/>
      <c r="S179" s="79"/>
    </row>
    <row r="180" spans="1:19" ht="15.95" customHeight="1" x14ac:dyDescent="0.2">
      <c r="A180" s="199"/>
      <c r="B180" s="5"/>
      <c r="C180" s="5" t="s">
        <v>200</v>
      </c>
      <c r="D180" s="236"/>
      <c r="E180" s="195">
        <f>266+1452+2283.33</f>
        <v>4001.33</v>
      </c>
      <c r="F180" s="195">
        <v>0</v>
      </c>
      <c r="G180" s="195">
        <f>ROUND(SUM(E180:F180),2)</f>
        <v>4001.33</v>
      </c>
      <c r="H180" s="89"/>
      <c r="L180" s="77"/>
      <c r="N180" s="79"/>
      <c r="P180" s="81"/>
      <c r="Q180" s="81"/>
      <c r="R180" s="79"/>
      <c r="S180" s="79"/>
    </row>
    <row r="181" spans="1:19" ht="15.95" customHeight="1" x14ac:dyDescent="0.2">
      <c r="A181" s="199">
        <v>20190030</v>
      </c>
      <c r="B181" s="5" t="s">
        <v>92</v>
      </c>
      <c r="C181" s="5" t="s">
        <v>201</v>
      </c>
      <c r="D181" s="235">
        <v>2020018</v>
      </c>
      <c r="E181" s="195">
        <f>266</f>
        <v>266</v>
      </c>
      <c r="F181" s="195">
        <v>0</v>
      </c>
      <c r="G181" s="195">
        <f t="shared" ref="G181" si="42">ROUND(SUM(E181:F181),2)</f>
        <v>266</v>
      </c>
      <c r="H181" s="89"/>
      <c r="L181" s="77"/>
      <c r="N181" s="79"/>
      <c r="P181" s="81"/>
      <c r="Q181" s="81"/>
      <c r="R181" s="79"/>
      <c r="S181" s="79"/>
    </row>
    <row r="182" spans="1:19" ht="15.95" customHeight="1" x14ac:dyDescent="0.2">
      <c r="A182" s="199"/>
      <c r="B182" s="5"/>
      <c r="C182" s="5" t="s">
        <v>202</v>
      </c>
      <c r="D182" s="236"/>
      <c r="E182" s="195">
        <f>266</f>
        <v>266</v>
      </c>
      <c r="F182" s="195">
        <v>0</v>
      </c>
      <c r="G182" s="195">
        <f>ROUND(SUM(E182:F182),2)</f>
        <v>266</v>
      </c>
      <c r="H182" s="89"/>
      <c r="L182" s="77"/>
      <c r="N182" s="79"/>
      <c r="P182" s="81"/>
      <c r="Q182" s="81"/>
      <c r="R182" s="79"/>
      <c r="S182" s="79"/>
    </row>
    <row r="183" spans="1:19" ht="15.95" customHeight="1" x14ac:dyDescent="0.2">
      <c r="A183" s="199"/>
      <c r="B183" s="5"/>
      <c r="C183" s="5" t="s">
        <v>203</v>
      </c>
      <c r="D183" s="236"/>
      <c r="E183" s="195">
        <f>266</f>
        <v>266</v>
      </c>
      <c r="F183" s="195">
        <v>0</v>
      </c>
      <c r="G183" s="195">
        <f>ROUND(SUM(E183:F183),2)</f>
        <v>266</v>
      </c>
      <c r="H183" s="89"/>
      <c r="L183" s="77"/>
      <c r="N183" s="79"/>
      <c r="P183" s="81"/>
      <c r="Q183" s="81"/>
      <c r="R183" s="79"/>
      <c r="S183" s="79"/>
    </row>
    <row r="184" spans="1:19" ht="15.95" customHeight="1" x14ac:dyDescent="0.2">
      <c r="A184" s="199">
        <v>20190040</v>
      </c>
      <c r="B184" s="5" t="s">
        <v>92</v>
      </c>
      <c r="C184" s="5" t="s">
        <v>204</v>
      </c>
      <c r="D184" s="235">
        <v>2020023</v>
      </c>
      <c r="E184" s="195">
        <f>266</f>
        <v>266</v>
      </c>
      <c r="F184" s="195">
        <v>0</v>
      </c>
      <c r="G184" s="195">
        <f t="shared" ref="G184" si="43">ROUND(SUM(E184:F184),2)</f>
        <v>266</v>
      </c>
      <c r="H184" s="89"/>
      <c r="L184" s="77"/>
      <c r="N184" s="79"/>
      <c r="P184" s="81"/>
      <c r="Q184" s="81"/>
      <c r="R184" s="79"/>
      <c r="S184" s="79"/>
    </row>
    <row r="185" spans="1:19" ht="15.95" customHeight="1" x14ac:dyDescent="0.2">
      <c r="A185" s="199"/>
      <c r="B185" s="5"/>
      <c r="C185" s="5" t="s">
        <v>205</v>
      </c>
      <c r="D185" s="236"/>
      <c r="E185" s="195">
        <f>266</f>
        <v>266</v>
      </c>
      <c r="F185" s="195">
        <v>0</v>
      </c>
      <c r="G185" s="195">
        <f>ROUND(SUM(E185:F185),2)</f>
        <v>266</v>
      </c>
      <c r="H185" s="89"/>
      <c r="L185" s="77"/>
      <c r="N185" s="79"/>
      <c r="P185" s="81"/>
      <c r="Q185" s="81"/>
      <c r="R185" s="79"/>
      <c r="S185" s="79"/>
    </row>
    <row r="186" spans="1:19" ht="15.95" customHeight="1" x14ac:dyDescent="0.2">
      <c r="A186" s="199"/>
      <c r="B186" s="5"/>
      <c r="C186" s="5" t="s">
        <v>206</v>
      </c>
      <c r="D186" s="236"/>
      <c r="E186" s="195">
        <f>266</f>
        <v>266</v>
      </c>
      <c r="F186" s="195">
        <v>0</v>
      </c>
      <c r="G186" s="195">
        <f>ROUND(SUM(E186:F186),2)</f>
        <v>266</v>
      </c>
      <c r="H186" s="89"/>
      <c r="L186" s="77"/>
      <c r="N186" s="79"/>
      <c r="P186" s="81"/>
      <c r="Q186" s="81"/>
      <c r="R186" s="79"/>
      <c r="S186" s="79"/>
    </row>
    <row r="187" spans="1:19" ht="15.95" customHeight="1" x14ac:dyDescent="0.2">
      <c r="A187" s="199">
        <v>20190046</v>
      </c>
      <c r="B187" s="5" t="s">
        <v>92</v>
      </c>
      <c r="C187" s="5" t="s">
        <v>207</v>
      </c>
      <c r="D187" s="235">
        <v>2020028</v>
      </c>
      <c r="E187" s="195">
        <f>266</f>
        <v>266</v>
      </c>
      <c r="F187" s="195">
        <v>0</v>
      </c>
      <c r="G187" s="195">
        <f t="shared" ref="G187" si="44">ROUND(SUM(E187:F187),2)</f>
        <v>266</v>
      </c>
      <c r="H187" s="89"/>
      <c r="L187" s="77"/>
      <c r="N187" s="79"/>
      <c r="P187" s="81"/>
      <c r="Q187" s="81"/>
      <c r="R187" s="79"/>
      <c r="S187" s="79"/>
    </row>
    <row r="188" spans="1:19" ht="15.95" customHeight="1" x14ac:dyDescent="0.2">
      <c r="A188" s="199"/>
      <c r="B188" s="5"/>
      <c r="C188" s="5" t="s">
        <v>208</v>
      </c>
      <c r="D188" s="236"/>
      <c r="E188" s="195">
        <f>266</f>
        <v>266</v>
      </c>
      <c r="F188" s="195">
        <v>0</v>
      </c>
      <c r="G188" s="195">
        <f>ROUND(SUM(E188:F188),2)</f>
        <v>266</v>
      </c>
      <c r="H188" s="89"/>
      <c r="L188" s="77"/>
      <c r="N188" s="79"/>
      <c r="P188" s="81"/>
      <c r="Q188" s="81"/>
      <c r="R188" s="79"/>
      <c r="S188" s="79"/>
    </row>
    <row r="189" spans="1:19" ht="15.95" customHeight="1" x14ac:dyDescent="0.2">
      <c r="A189" s="199"/>
      <c r="B189" s="5"/>
      <c r="C189" s="5" t="s">
        <v>209</v>
      </c>
      <c r="D189" s="236"/>
      <c r="E189" s="195">
        <f>266</f>
        <v>266</v>
      </c>
      <c r="F189" s="195">
        <v>0</v>
      </c>
      <c r="G189" s="195">
        <f>ROUND(SUM(E189:F189),2)</f>
        <v>266</v>
      </c>
      <c r="H189" s="89"/>
      <c r="L189" s="77"/>
      <c r="N189" s="79"/>
      <c r="P189" s="81"/>
      <c r="Q189" s="81"/>
      <c r="R189" s="79"/>
      <c r="S189" s="79"/>
    </row>
    <row r="190" spans="1:19" ht="15.95" customHeight="1" x14ac:dyDescent="0.2">
      <c r="A190" s="199">
        <v>20190058</v>
      </c>
      <c r="B190" s="5" t="s">
        <v>92</v>
      </c>
      <c r="C190" s="5" t="s">
        <v>210</v>
      </c>
      <c r="D190" s="235">
        <v>2020035</v>
      </c>
      <c r="E190" s="195">
        <v>219.83</v>
      </c>
      <c r="F190" s="195">
        <f t="shared" ref="F190:F208" si="45">E190*0.21</f>
        <v>46.164300000000004</v>
      </c>
      <c r="G190" s="195">
        <f>ROUND(SUM(E190:F190),0)</f>
        <v>266</v>
      </c>
      <c r="H190" s="89"/>
      <c r="L190" s="77"/>
      <c r="N190" s="79"/>
      <c r="P190" s="81"/>
      <c r="Q190" s="81"/>
      <c r="R190" s="79"/>
      <c r="S190" s="79"/>
    </row>
    <row r="191" spans="1:19" ht="15.95" customHeight="1" x14ac:dyDescent="0.2">
      <c r="A191" s="199"/>
      <c r="B191" s="5"/>
      <c r="C191" s="5" t="s">
        <v>211</v>
      </c>
      <c r="D191" s="236"/>
      <c r="E191" s="195">
        <v>219.83</v>
      </c>
      <c r="F191" s="195">
        <f t="shared" si="45"/>
        <v>46.164300000000004</v>
      </c>
      <c r="G191" s="195">
        <f t="shared" ref="G191:G192" si="46">ROUND(SUM(E191:F191),0)</f>
        <v>266</v>
      </c>
      <c r="H191" s="89"/>
      <c r="L191" s="77"/>
      <c r="N191" s="79"/>
      <c r="P191" s="81"/>
      <c r="Q191" s="81"/>
      <c r="R191" s="79"/>
      <c r="S191" s="79"/>
    </row>
    <row r="192" spans="1:19" ht="15.95" customHeight="1" x14ac:dyDescent="0.2">
      <c r="A192" s="199"/>
      <c r="B192" s="5"/>
      <c r="C192" s="5" t="s">
        <v>212</v>
      </c>
      <c r="D192" s="236"/>
      <c r="E192" s="195">
        <v>219.83</v>
      </c>
      <c r="F192" s="195">
        <f t="shared" si="45"/>
        <v>46.164300000000004</v>
      </c>
      <c r="G192" s="195">
        <f t="shared" si="46"/>
        <v>266</v>
      </c>
      <c r="H192" s="89"/>
      <c r="L192" s="77"/>
      <c r="N192" s="79"/>
      <c r="P192" s="81"/>
      <c r="Q192" s="81"/>
      <c r="R192" s="79"/>
      <c r="S192" s="79"/>
    </row>
    <row r="193" spans="1:19" ht="15.95" customHeight="1" x14ac:dyDescent="0.2">
      <c r="A193" s="199">
        <v>20190068</v>
      </c>
      <c r="B193" s="5" t="s">
        <v>92</v>
      </c>
      <c r="C193" s="5" t="s">
        <v>213</v>
      </c>
      <c r="D193" s="235">
        <v>2020040</v>
      </c>
      <c r="E193" s="195">
        <v>219.83</v>
      </c>
      <c r="F193" s="195">
        <f t="shared" si="45"/>
        <v>46.164300000000004</v>
      </c>
      <c r="G193" s="195">
        <f>ROUND(SUM(E193:F193),0)</f>
        <v>266</v>
      </c>
      <c r="H193" s="89"/>
      <c r="L193" s="77"/>
      <c r="N193" s="79"/>
      <c r="P193" s="81"/>
      <c r="Q193" s="81"/>
      <c r="R193" s="79"/>
      <c r="S193" s="79"/>
    </row>
    <row r="194" spans="1:19" ht="15.95" customHeight="1" x14ac:dyDescent="0.2">
      <c r="A194" s="199"/>
      <c r="B194" s="5"/>
      <c r="C194" s="5" t="s">
        <v>214</v>
      </c>
      <c r="D194" s="236"/>
      <c r="E194" s="195">
        <v>219.83</v>
      </c>
      <c r="F194" s="195">
        <f t="shared" si="45"/>
        <v>46.164300000000004</v>
      </c>
      <c r="G194" s="195">
        <f t="shared" ref="G194:G195" si="47">ROUND(SUM(E194:F194),0)</f>
        <v>266</v>
      </c>
      <c r="H194" s="89"/>
      <c r="L194" s="77"/>
      <c r="N194" s="79"/>
      <c r="P194" s="81"/>
      <c r="Q194" s="81"/>
      <c r="R194" s="79"/>
      <c r="S194" s="79"/>
    </row>
    <row r="195" spans="1:19" ht="15.95" customHeight="1" x14ac:dyDescent="0.2">
      <c r="A195" s="199"/>
      <c r="B195" s="5"/>
      <c r="C195" s="5" t="s">
        <v>215</v>
      </c>
      <c r="D195" s="236"/>
      <c r="E195" s="195">
        <v>219.83</v>
      </c>
      <c r="F195" s="195">
        <f t="shared" si="45"/>
        <v>46.164300000000004</v>
      </c>
      <c r="G195" s="195">
        <f t="shared" si="47"/>
        <v>266</v>
      </c>
      <c r="H195" s="89"/>
      <c r="L195" s="77"/>
      <c r="N195" s="79"/>
      <c r="P195" s="81"/>
      <c r="Q195" s="81"/>
      <c r="R195" s="79"/>
      <c r="S195" s="79"/>
    </row>
    <row r="196" spans="1:19" ht="15.95" customHeight="1" x14ac:dyDescent="0.2">
      <c r="A196" s="199">
        <v>20190078</v>
      </c>
      <c r="B196" s="5" t="s">
        <v>92</v>
      </c>
      <c r="C196" s="5" t="s">
        <v>216</v>
      </c>
      <c r="D196" s="235">
        <v>2020051</v>
      </c>
      <c r="E196" s="195">
        <v>219.83</v>
      </c>
      <c r="F196" s="195">
        <f t="shared" si="45"/>
        <v>46.164300000000004</v>
      </c>
      <c r="G196" s="195">
        <f>ROUND(SUM(E196:F196),0)</f>
        <v>266</v>
      </c>
      <c r="H196" s="89"/>
      <c r="L196" s="77"/>
      <c r="N196" s="79"/>
      <c r="P196" s="81"/>
      <c r="Q196" s="81"/>
      <c r="R196" s="79"/>
      <c r="S196" s="79"/>
    </row>
    <row r="197" spans="1:19" ht="15.95" customHeight="1" x14ac:dyDescent="0.2">
      <c r="A197" s="199"/>
      <c r="B197" s="5"/>
      <c r="C197" s="5" t="s">
        <v>217</v>
      </c>
      <c r="D197" s="236"/>
      <c r="E197" s="195">
        <v>219.83</v>
      </c>
      <c r="F197" s="195">
        <f t="shared" si="45"/>
        <v>46.164300000000004</v>
      </c>
      <c r="G197" s="195">
        <f t="shared" ref="G197:G198" si="48">ROUND(SUM(E197:F197),0)</f>
        <v>266</v>
      </c>
      <c r="H197" s="89"/>
      <c r="L197" s="77"/>
      <c r="N197" s="79"/>
      <c r="P197" s="81"/>
      <c r="Q197" s="81"/>
      <c r="R197" s="79"/>
      <c r="S197" s="79"/>
    </row>
    <row r="198" spans="1:19" ht="15.95" customHeight="1" x14ac:dyDescent="0.2">
      <c r="A198" s="199"/>
      <c r="B198" s="5"/>
      <c r="C198" s="5" t="s">
        <v>218</v>
      </c>
      <c r="D198" s="236"/>
      <c r="E198" s="195">
        <v>219.83</v>
      </c>
      <c r="F198" s="195">
        <f t="shared" si="45"/>
        <v>46.164300000000004</v>
      </c>
      <c r="G198" s="195">
        <f t="shared" si="48"/>
        <v>266</v>
      </c>
      <c r="H198" s="89"/>
      <c r="L198" s="77"/>
      <c r="N198" s="79"/>
      <c r="P198" s="81"/>
      <c r="Q198" s="81"/>
      <c r="R198" s="79"/>
      <c r="S198" s="79"/>
    </row>
    <row r="199" spans="1:19" ht="15.95" customHeight="1" x14ac:dyDescent="0.2">
      <c r="A199" s="199">
        <v>20190096</v>
      </c>
      <c r="B199" s="5" t="s">
        <v>92</v>
      </c>
      <c r="C199" s="5" t="s">
        <v>219</v>
      </c>
      <c r="D199" s="235">
        <v>2020060</v>
      </c>
      <c r="E199" s="195">
        <v>219.83</v>
      </c>
      <c r="F199" s="195">
        <f t="shared" si="45"/>
        <v>46.164300000000004</v>
      </c>
      <c r="G199" s="195">
        <f>ROUND(SUM(E199:F199),0)</f>
        <v>266</v>
      </c>
      <c r="H199" s="89"/>
      <c r="L199" s="77"/>
      <c r="N199" s="79"/>
      <c r="P199" s="81"/>
      <c r="Q199" s="81"/>
      <c r="R199" s="79"/>
      <c r="S199" s="79"/>
    </row>
    <row r="200" spans="1:19" ht="15.95" customHeight="1" x14ac:dyDescent="0.2">
      <c r="A200" s="199"/>
      <c r="B200" s="5"/>
      <c r="C200" s="5" t="s">
        <v>220</v>
      </c>
      <c r="D200" s="236"/>
      <c r="E200" s="195">
        <v>219.83</v>
      </c>
      <c r="F200" s="195">
        <f t="shared" si="45"/>
        <v>46.164300000000004</v>
      </c>
      <c r="G200" s="195">
        <f>ROUND(SUM(E200:F200),0)</f>
        <v>266</v>
      </c>
      <c r="H200" s="89"/>
      <c r="L200" s="77"/>
      <c r="N200" s="79"/>
      <c r="P200" s="81"/>
      <c r="Q200" s="81"/>
      <c r="R200" s="79"/>
      <c r="S200" s="79"/>
    </row>
    <row r="201" spans="1:19" ht="15.95" customHeight="1" x14ac:dyDescent="0.2">
      <c r="A201" s="199"/>
      <c r="B201" s="5"/>
      <c r="C201" s="5" t="s">
        <v>221</v>
      </c>
      <c r="D201" s="236"/>
      <c r="E201" s="195">
        <v>219.83</v>
      </c>
      <c r="F201" s="195">
        <f t="shared" si="45"/>
        <v>46.164300000000004</v>
      </c>
      <c r="G201" s="195">
        <f t="shared" ref="G201" si="49">ROUND(SUM(E201:F201),0)</f>
        <v>266</v>
      </c>
      <c r="H201" s="89"/>
      <c r="L201" s="77"/>
      <c r="N201" s="79"/>
      <c r="P201" s="81"/>
      <c r="Q201" s="81"/>
      <c r="R201" s="79"/>
      <c r="S201" s="79"/>
    </row>
    <row r="202" spans="1:19" ht="15.95" customHeight="1" x14ac:dyDescent="0.2">
      <c r="A202" s="199">
        <v>20190103</v>
      </c>
      <c r="B202" s="5" t="s">
        <v>92</v>
      </c>
      <c r="C202" s="5" t="s">
        <v>222</v>
      </c>
      <c r="D202" s="235">
        <v>2020063</v>
      </c>
      <c r="E202" s="195">
        <v>219.83</v>
      </c>
      <c r="F202" s="195">
        <f t="shared" si="45"/>
        <v>46.164300000000004</v>
      </c>
      <c r="G202" s="195">
        <f>ROUND(SUM(E202:F202),0)</f>
        <v>266</v>
      </c>
      <c r="H202" s="89"/>
      <c r="L202" s="77"/>
      <c r="N202" s="79"/>
      <c r="P202" s="81"/>
      <c r="Q202" s="81"/>
      <c r="R202" s="79"/>
      <c r="S202" s="79"/>
    </row>
    <row r="203" spans="1:19" ht="15.95" customHeight="1" x14ac:dyDescent="0.2">
      <c r="A203" s="199"/>
      <c r="B203" s="5"/>
      <c r="C203" s="5" t="s">
        <v>223</v>
      </c>
      <c r="D203" s="236"/>
      <c r="E203" s="195">
        <v>219.83</v>
      </c>
      <c r="F203" s="195">
        <f t="shared" si="45"/>
        <v>46.164300000000004</v>
      </c>
      <c r="G203" s="195">
        <f>ROUND(SUM(E203:F203),0)</f>
        <v>266</v>
      </c>
      <c r="H203" s="89"/>
      <c r="L203" s="77"/>
      <c r="N203" s="79"/>
      <c r="P203" s="81"/>
      <c r="Q203" s="81"/>
      <c r="R203" s="79"/>
      <c r="S203" s="79"/>
    </row>
    <row r="204" spans="1:19" ht="15.95" customHeight="1" x14ac:dyDescent="0.2">
      <c r="A204" s="199"/>
      <c r="B204" s="5"/>
      <c r="C204" s="5" t="s">
        <v>224</v>
      </c>
      <c r="D204" s="236"/>
      <c r="E204" s="195">
        <v>219.83</v>
      </c>
      <c r="F204" s="195">
        <f t="shared" si="45"/>
        <v>46.164300000000004</v>
      </c>
      <c r="G204" s="195">
        <f t="shared" ref="G204" si="50">ROUND(SUM(E204:F204),0)</f>
        <v>266</v>
      </c>
      <c r="H204" s="89"/>
      <c r="L204" s="77"/>
      <c r="N204" s="79"/>
      <c r="P204" s="81"/>
      <c r="Q204" s="81"/>
      <c r="R204" s="79"/>
      <c r="S204" s="79"/>
    </row>
    <row r="205" spans="1:19" ht="15.95" customHeight="1" x14ac:dyDescent="0.2">
      <c r="A205" s="199">
        <v>20190116</v>
      </c>
      <c r="B205" s="5" t="s">
        <v>92</v>
      </c>
      <c r="C205" s="5" t="s">
        <v>225</v>
      </c>
      <c r="D205" s="235">
        <v>2020068</v>
      </c>
      <c r="E205" s="195">
        <v>219.83</v>
      </c>
      <c r="F205" s="195">
        <f t="shared" si="45"/>
        <v>46.164300000000004</v>
      </c>
      <c r="G205" s="195">
        <f>ROUND(SUM(E205:F205),0)</f>
        <v>266</v>
      </c>
      <c r="H205" s="89"/>
      <c r="L205" s="77"/>
      <c r="N205" s="79"/>
      <c r="P205" s="81"/>
      <c r="Q205" s="81"/>
      <c r="R205" s="79"/>
      <c r="S205" s="79"/>
    </row>
    <row r="206" spans="1:19" ht="15.95" customHeight="1" x14ac:dyDescent="0.2">
      <c r="A206" s="199"/>
      <c r="B206" s="5"/>
      <c r="C206" s="5" t="s">
        <v>226</v>
      </c>
      <c r="D206" s="236"/>
      <c r="E206" s="195">
        <v>219.83</v>
      </c>
      <c r="F206" s="195">
        <f t="shared" si="45"/>
        <v>46.164300000000004</v>
      </c>
      <c r="G206" s="195">
        <f>ROUND(SUM(E206:F206),0)</f>
        <v>266</v>
      </c>
      <c r="H206" s="89"/>
      <c r="L206" s="77"/>
      <c r="N206" s="79"/>
      <c r="P206" s="81"/>
      <c r="Q206" s="81"/>
      <c r="R206" s="79"/>
      <c r="S206" s="79"/>
    </row>
    <row r="207" spans="1:19" ht="15.95" customHeight="1" x14ac:dyDescent="0.2">
      <c r="A207" s="199"/>
      <c r="B207" s="5"/>
      <c r="C207" s="5" t="s">
        <v>227</v>
      </c>
      <c r="D207" s="236"/>
      <c r="E207" s="195">
        <v>219.83</v>
      </c>
      <c r="F207" s="195">
        <f t="shared" si="45"/>
        <v>46.164300000000004</v>
      </c>
      <c r="G207" s="195">
        <f t="shared" ref="G207" si="51">ROUND(SUM(E207:F207),0)</f>
        <v>266</v>
      </c>
      <c r="H207" s="89"/>
      <c r="L207" s="77"/>
      <c r="N207" s="79"/>
      <c r="P207" s="81"/>
      <c r="Q207" s="81"/>
      <c r="R207" s="79"/>
      <c r="S207" s="79"/>
    </row>
    <row r="208" spans="1:19" ht="15.95" customHeight="1" outlineLevel="1" x14ac:dyDescent="0.2">
      <c r="A208" s="199"/>
      <c r="B208" s="5"/>
      <c r="C208" s="5" t="s">
        <v>228</v>
      </c>
      <c r="D208" s="210">
        <v>2020068</v>
      </c>
      <c r="E208" s="195">
        <v>400</v>
      </c>
      <c r="F208" s="195">
        <f t="shared" si="45"/>
        <v>84</v>
      </c>
      <c r="G208" s="195">
        <f t="shared" ref="G208" si="52">ROUND(SUM(E208:F208),0)</f>
        <v>484</v>
      </c>
      <c r="H208" s="89"/>
      <c r="L208" s="77"/>
      <c r="N208" s="79"/>
      <c r="P208" s="81"/>
      <c r="Q208" s="81"/>
      <c r="R208" s="79"/>
      <c r="S208" s="79"/>
    </row>
    <row r="209" spans="1:19" s="15" customFormat="1" ht="15.75" customHeight="1" outlineLevel="1" thickBot="1" x14ac:dyDescent="0.25">
      <c r="A209" s="23"/>
      <c r="B209" s="15" t="s">
        <v>0</v>
      </c>
      <c r="D209" s="16"/>
      <c r="E209" s="50">
        <f>SUM(E172:E208)</f>
        <v>29062.940000000031</v>
      </c>
      <c r="F209" s="50">
        <f>SUM(F172:F208)</f>
        <v>914.95740000000035</v>
      </c>
      <c r="G209" s="58">
        <f>SUM(G172:G208)</f>
        <v>29978</v>
      </c>
      <c r="H209" s="17"/>
      <c r="M209" s="14"/>
      <c r="Q209" s="16"/>
      <c r="R209" s="16"/>
    </row>
    <row r="210" spans="1:19" ht="15.95" customHeight="1" outlineLevel="1" thickTop="1" x14ac:dyDescent="0.2">
      <c r="A210" s="87"/>
      <c r="D210" s="81"/>
      <c r="E210" s="98"/>
      <c r="F210" s="98"/>
      <c r="G210" s="98"/>
      <c r="H210" s="89"/>
      <c r="L210" s="77"/>
      <c r="N210" s="79"/>
      <c r="P210" s="81"/>
      <c r="Q210" s="81"/>
      <c r="R210" s="79"/>
      <c r="S210" s="79"/>
    </row>
    <row r="211" spans="1:19" s="5" customFormat="1" ht="15.75" customHeight="1" x14ac:dyDescent="0.25">
      <c r="A211" s="2"/>
      <c r="B211" s="3" t="s">
        <v>27</v>
      </c>
      <c r="C211" s="7"/>
      <c r="D211" s="75"/>
      <c r="H211" s="13"/>
      <c r="I211" s="13"/>
      <c r="J211" s="13"/>
      <c r="N211" s="2"/>
      <c r="R211" s="75"/>
      <c r="S211" s="75"/>
    </row>
    <row r="212" spans="1:19" ht="15.95" customHeight="1" x14ac:dyDescent="0.2">
      <c r="B212" s="79" t="s">
        <v>1</v>
      </c>
      <c r="C212" s="79" t="s">
        <v>2</v>
      </c>
      <c r="D212" s="81"/>
      <c r="E212" s="139" t="s">
        <v>6</v>
      </c>
      <c r="F212" s="139" t="s">
        <v>14</v>
      </c>
      <c r="G212" s="81" t="s">
        <v>0</v>
      </c>
      <c r="H212" s="81"/>
      <c r="I212" s="89"/>
      <c r="J212" s="78"/>
    </row>
    <row r="213" spans="1:19" ht="15.95" customHeight="1" x14ac:dyDescent="0.2">
      <c r="A213" s="199">
        <v>20190046</v>
      </c>
      <c r="B213" s="5" t="s">
        <v>92</v>
      </c>
      <c r="C213" s="5" t="s">
        <v>229</v>
      </c>
      <c r="D213" s="75">
        <v>2020028</v>
      </c>
      <c r="E213" s="195">
        <f>2541+303+968</f>
        <v>3812</v>
      </c>
      <c r="F213" s="195">
        <v>0</v>
      </c>
      <c r="G213" s="195">
        <f t="shared" ref="G213" si="53">ROUND(SUM(E213:F213),2)</f>
        <v>3812</v>
      </c>
      <c r="H213" s="89"/>
      <c r="I213" s="89"/>
      <c r="J213" s="78"/>
      <c r="K213" s="78"/>
      <c r="L213" s="78"/>
    </row>
    <row r="214" spans="1:19" ht="15.95" customHeight="1" x14ac:dyDescent="0.2">
      <c r="A214" s="199">
        <v>20190058</v>
      </c>
      <c r="B214" s="5" t="s">
        <v>92</v>
      </c>
      <c r="C214" s="5" t="s">
        <v>230</v>
      </c>
      <c r="D214" s="75">
        <v>2020035</v>
      </c>
      <c r="E214" s="195">
        <f>400</f>
        <v>400</v>
      </c>
      <c r="F214" s="195">
        <f>E214*0.21</f>
        <v>84</v>
      </c>
      <c r="G214" s="195">
        <f t="shared" ref="G214:G216" si="54">ROUND(SUM(E214:F214),2)</f>
        <v>484</v>
      </c>
      <c r="H214" s="89"/>
      <c r="I214" s="89"/>
      <c r="J214" s="78"/>
      <c r="K214" s="78"/>
      <c r="L214" s="78"/>
    </row>
    <row r="215" spans="1:19" ht="15.95" customHeight="1" x14ac:dyDescent="0.2">
      <c r="A215" s="199">
        <v>20190116</v>
      </c>
      <c r="B215" s="5" t="s">
        <v>92</v>
      </c>
      <c r="C215" s="5" t="s">
        <v>231</v>
      </c>
      <c r="D215" s="75">
        <v>2020068</v>
      </c>
      <c r="E215" s="195">
        <v>2100</v>
      </c>
      <c r="F215" s="195">
        <f>E215*0.21</f>
        <v>441</v>
      </c>
      <c r="G215" s="195">
        <f t="shared" si="54"/>
        <v>2541</v>
      </c>
      <c r="H215" s="89"/>
      <c r="I215" s="89"/>
      <c r="J215" s="78"/>
      <c r="K215" s="78"/>
      <c r="L215" s="78"/>
    </row>
    <row r="216" spans="1:19" ht="15.95" customHeight="1" x14ac:dyDescent="0.2">
      <c r="A216" s="199"/>
      <c r="B216" s="5"/>
      <c r="C216" s="5" t="s">
        <v>232</v>
      </c>
      <c r="D216" s="75">
        <v>2020068</v>
      </c>
      <c r="E216" s="195">
        <v>250.41</v>
      </c>
      <c r="F216" s="195">
        <f>E216*0.21</f>
        <v>52.586099999999995</v>
      </c>
      <c r="G216" s="195">
        <f t="shared" si="54"/>
        <v>303</v>
      </c>
      <c r="H216" s="89"/>
      <c r="I216" s="89"/>
      <c r="J216" s="78"/>
      <c r="K216" s="78"/>
      <c r="L216" s="78"/>
    </row>
    <row r="217" spans="1:19" s="15" customFormat="1" ht="15.75" customHeight="1" outlineLevel="1" thickBot="1" x14ac:dyDescent="0.25">
      <c r="A217" s="23"/>
      <c r="B217" s="15" t="s">
        <v>0</v>
      </c>
      <c r="D217" s="16"/>
      <c r="E217" s="50">
        <f>SUM(E213:E216)</f>
        <v>6562.41</v>
      </c>
      <c r="F217" s="50">
        <f>SUM(F213:F216)</f>
        <v>577.58609999999999</v>
      </c>
      <c r="G217" s="58">
        <f>SUM(G213:G216)</f>
        <v>7140</v>
      </c>
      <c r="H217" s="17"/>
      <c r="M217" s="14"/>
      <c r="Q217" s="16"/>
      <c r="R217" s="16"/>
    </row>
    <row r="218" spans="1:19" ht="15.95" customHeight="1" thickTop="1" x14ac:dyDescent="0.2"/>
    <row r="219" spans="1:19" s="5" customFormat="1" ht="15.75" customHeight="1" outlineLevel="1" x14ac:dyDescent="0.25">
      <c r="A219" s="2"/>
      <c r="B219" s="3" t="s">
        <v>28</v>
      </c>
      <c r="C219" s="7"/>
      <c r="D219" s="75"/>
      <c r="E219" s="75"/>
      <c r="F219" s="75"/>
      <c r="H219" s="13"/>
      <c r="I219" s="13"/>
      <c r="N219" s="2"/>
      <c r="R219" s="75"/>
      <c r="S219" s="75"/>
    </row>
    <row r="220" spans="1:19" ht="15.95" customHeight="1" outlineLevel="1" x14ac:dyDescent="0.2">
      <c r="B220" s="79" t="s">
        <v>1</v>
      </c>
      <c r="C220" s="79" t="s">
        <v>2</v>
      </c>
      <c r="D220" s="81"/>
      <c r="E220" s="139" t="s">
        <v>6</v>
      </c>
      <c r="F220" s="139" t="s">
        <v>14</v>
      </c>
      <c r="G220" s="81" t="s">
        <v>0</v>
      </c>
      <c r="N220" s="79"/>
    </row>
    <row r="221" spans="1:19" s="212" customFormat="1" ht="15.75" customHeight="1" outlineLevel="1" x14ac:dyDescent="0.25">
      <c r="A221" s="199">
        <v>20190044</v>
      </c>
      <c r="B221" s="118" t="s">
        <v>13</v>
      </c>
      <c r="C221" s="5" t="s">
        <v>233</v>
      </c>
      <c r="D221" s="75" t="s">
        <v>75</v>
      </c>
      <c r="E221" s="12">
        <f>3838*6*3</f>
        <v>69084</v>
      </c>
      <c r="F221" s="12">
        <v>0</v>
      </c>
      <c r="G221" s="211">
        <f>ROUND(SUM(E221:F221),0)</f>
        <v>69084</v>
      </c>
      <c r="H221" s="117"/>
      <c r="I221" s="117"/>
      <c r="J221" s="13"/>
      <c r="N221" s="213"/>
      <c r="R221" s="214"/>
      <c r="S221" s="214"/>
    </row>
    <row r="222" spans="1:19" s="212" customFormat="1" ht="15.75" customHeight="1" outlineLevel="1" x14ac:dyDescent="0.25">
      <c r="A222" s="199">
        <v>20190105</v>
      </c>
      <c r="B222" s="118" t="s">
        <v>13</v>
      </c>
      <c r="C222" s="5" t="s">
        <v>234</v>
      </c>
      <c r="D222" s="75" t="s">
        <v>75</v>
      </c>
      <c r="E222" s="12">
        <f>3838*6*3</f>
        <v>69084</v>
      </c>
      <c r="F222" s="12">
        <v>0</v>
      </c>
      <c r="G222" s="211">
        <f>ROUND(SUM(E222:F222),0)</f>
        <v>69084</v>
      </c>
      <c r="H222" s="117"/>
      <c r="I222" s="117"/>
      <c r="J222" s="13"/>
      <c r="N222" s="213"/>
      <c r="R222" s="214"/>
      <c r="S222" s="214"/>
    </row>
    <row r="223" spans="1:19" s="15" customFormat="1" ht="15.75" customHeight="1" outlineLevel="1" thickBot="1" x14ac:dyDescent="0.25">
      <c r="A223" s="23"/>
      <c r="B223" s="15" t="s">
        <v>0</v>
      </c>
      <c r="D223" s="16"/>
      <c r="E223" s="17">
        <f>SUM(E221:E222)</f>
        <v>138168</v>
      </c>
      <c r="F223" s="17">
        <f>SUM(F221:F222)</f>
        <v>0</v>
      </c>
      <c r="G223" s="58">
        <f>SUM(G221:G222)</f>
        <v>138168</v>
      </c>
      <c r="N223" s="14"/>
      <c r="R223" s="16"/>
      <c r="S223" s="16"/>
    </row>
    <row r="224" spans="1:19" ht="15.95" customHeight="1" outlineLevel="1" thickTop="1" x14ac:dyDescent="0.2">
      <c r="A224" s="87"/>
      <c r="D224" s="81"/>
      <c r="E224" s="98"/>
      <c r="F224" s="98"/>
      <c r="G224" s="98"/>
    </row>
    <row r="225" spans="1:19" s="5" customFormat="1" ht="15.75" customHeight="1" outlineLevel="1" x14ac:dyDescent="0.25">
      <c r="A225" s="2"/>
      <c r="B225" s="3" t="s">
        <v>29</v>
      </c>
      <c r="C225" s="7"/>
      <c r="D225" s="75"/>
      <c r="J225" s="32"/>
      <c r="M225" s="59"/>
      <c r="N225" s="2"/>
      <c r="R225" s="75"/>
      <c r="S225" s="75"/>
    </row>
    <row r="226" spans="1:19" ht="15.95" customHeight="1" outlineLevel="1" x14ac:dyDescent="0.2">
      <c r="B226" s="79" t="s">
        <v>1</v>
      </c>
      <c r="C226" s="79" t="s">
        <v>2</v>
      </c>
      <c r="D226" s="81"/>
      <c r="E226" s="139" t="s">
        <v>6</v>
      </c>
      <c r="F226" s="139" t="s">
        <v>14</v>
      </c>
      <c r="G226" s="81" t="s">
        <v>0</v>
      </c>
      <c r="J226" s="107"/>
    </row>
    <row r="227" spans="1:19" s="5" customFormat="1" ht="15.75" customHeight="1" x14ac:dyDescent="0.2">
      <c r="A227" s="11" t="s">
        <v>235</v>
      </c>
      <c r="B227" s="5" t="s">
        <v>77</v>
      </c>
      <c r="C227" s="5" t="s">
        <v>94</v>
      </c>
      <c r="D227" s="75">
        <v>20200053</v>
      </c>
      <c r="E227" s="12">
        <v>3940</v>
      </c>
      <c r="F227" s="215">
        <f>ROUND(E227*0.15,2)</f>
        <v>591</v>
      </c>
      <c r="G227" s="216">
        <f>ROUND(E227+F227,0)</f>
        <v>4531</v>
      </c>
      <c r="H227" s="216"/>
      <c r="N227" s="2"/>
      <c r="R227" s="75"/>
      <c r="S227" s="75"/>
    </row>
    <row r="228" spans="1:19" s="5" customFormat="1" ht="15.75" customHeight="1" x14ac:dyDescent="0.2">
      <c r="A228" s="2">
        <v>20190004</v>
      </c>
      <c r="B228" s="5" t="s">
        <v>79</v>
      </c>
      <c r="C228" s="5" t="s">
        <v>236</v>
      </c>
      <c r="D228" s="75">
        <v>120003</v>
      </c>
      <c r="E228" s="215">
        <f>2*360+10*25+45+2*800+2*350+2*175+350</f>
        <v>4015</v>
      </c>
      <c r="F228" s="215">
        <v>0</v>
      </c>
      <c r="G228" s="32">
        <f>ROUND(SUM(E228:F228),0)</f>
        <v>4015</v>
      </c>
      <c r="H228" s="216"/>
      <c r="N228" s="2"/>
      <c r="R228" s="75"/>
      <c r="S228" s="75"/>
    </row>
    <row r="229" spans="1:19" s="5" customFormat="1" ht="15.75" customHeight="1" outlineLevel="1" x14ac:dyDescent="0.2">
      <c r="A229" s="2">
        <v>20190012</v>
      </c>
      <c r="B229" s="5" t="s">
        <v>18</v>
      </c>
      <c r="C229" s="5" t="s">
        <v>237</v>
      </c>
      <c r="D229" s="75">
        <v>42051536</v>
      </c>
      <c r="E229" s="215">
        <v>6780</v>
      </c>
      <c r="F229" s="215">
        <f>E229*0.21</f>
        <v>1423.8</v>
      </c>
      <c r="G229" s="32">
        <f>ROUND(SUM(E229:F229),2)</f>
        <v>8203.7999999999993</v>
      </c>
      <c r="L229" s="217"/>
      <c r="M229" s="218"/>
      <c r="N229" s="2"/>
      <c r="R229" s="75"/>
      <c r="S229" s="75"/>
    </row>
    <row r="230" spans="1:19" s="5" customFormat="1" ht="15.75" customHeight="1" x14ac:dyDescent="0.2">
      <c r="A230" s="2">
        <v>20190016</v>
      </c>
      <c r="B230" s="5" t="s">
        <v>17</v>
      </c>
      <c r="C230" s="5" t="s">
        <v>238</v>
      </c>
      <c r="D230" s="75">
        <v>421200034</v>
      </c>
      <c r="E230" s="215">
        <f>375+10*47.107</f>
        <v>846.06999999999994</v>
      </c>
      <c r="F230" s="215">
        <f>E230*0.21+0.01</f>
        <v>177.68469999999996</v>
      </c>
      <c r="G230" s="32">
        <f>ROUND(SUM(E230:F230),2)</f>
        <v>1023.75</v>
      </c>
      <c r="H230" s="216"/>
      <c r="N230" s="2"/>
      <c r="R230" s="75"/>
      <c r="S230" s="75"/>
    </row>
    <row r="231" spans="1:19" s="5" customFormat="1" ht="15.75" customHeight="1" outlineLevel="1" x14ac:dyDescent="0.2">
      <c r="A231" s="2">
        <v>20190017</v>
      </c>
      <c r="B231" s="5" t="s">
        <v>239</v>
      </c>
      <c r="C231" s="5" t="s">
        <v>240</v>
      </c>
      <c r="D231" s="75">
        <v>2020010</v>
      </c>
      <c r="E231" s="215">
        <v>6240</v>
      </c>
      <c r="F231" s="215">
        <f>E231*0.15</f>
        <v>936</v>
      </c>
      <c r="G231" s="32">
        <f>ROUND(SUM(E231:F231),2)</f>
        <v>7176</v>
      </c>
      <c r="L231" s="217"/>
      <c r="M231" s="218"/>
      <c r="N231" s="2"/>
      <c r="R231" s="75"/>
      <c r="S231" s="75"/>
    </row>
    <row r="232" spans="1:19" s="5" customFormat="1" ht="15.75" customHeight="1" x14ac:dyDescent="0.2">
      <c r="A232" s="11" t="s">
        <v>241</v>
      </c>
      <c r="B232" s="5" t="s">
        <v>78</v>
      </c>
      <c r="C232" s="5" t="s">
        <v>242</v>
      </c>
      <c r="D232" s="75" t="s">
        <v>243</v>
      </c>
      <c r="E232" s="12">
        <f>1156.5+950</f>
        <v>2106.5</v>
      </c>
      <c r="F232" s="215">
        <f>ROUND(E232*0.21,2)</f>
        <v>442.37</v>
      </c>
      <c r="G232" s="216">
        <f>ROUND(E232+F232,0)-1</f>
        <v>2548</v>
      </c>
      <c r="H232" s="216"/>
      <c r="N232" s="2"/>
      <c r="R232" s="75"/>
      <c r="S232" s="75"/>
    </row>
    <row r="233" spans="1:19" s="5" customFormat="1" ht="15.75" customHeight="1" x14ac:dyDescent="0.2">
      <c r="A233" s="2">
        <v>20190021</v>
      </c>
      <c r="B233" s="5" t="s">
        <v>79</v>
      </c>
      <c r="C233" s="5" t="s">
        <v>244</v>
      </c>
      <c r="D233" s="75">
        <v>120010</v>
      </c>
      <c r="E233" s="215">
        <f>354+98+267+250+950+1250+500</f>
        <v>3669</v>
      </c>
      <c r="F233" s="215">
        <v>0</v>
      </c>
      <c r="G233" s="32">
        <f>ROUND(SUM(E233:F233),0)</f>
        <v>3669</v>
      </c>
      <c r="H233" s="216"/>
      <c r="N233" s="2"/>
      <c r="R233" s="75"/>
      <c r="S233" s="75"/>
    </row>
    <row r="234" spans="1:19" s="5" customFormat="1" ht="15.75" customHeight="1" x14ac:dyDescent="0.2">
      <c r="A234" s="11" t="s">
        <v>245</v>
      </c>
      <c r="B234" s="5" t="s">
        <v>78</v>
      </c>
      <c r="C234" s="5" t="s">
        <v>246</v>
      </c>
      <c r="D234" s="75" t="s">
        <v>247</v>
      </c>
      <c r="E234" s="12">
        <v>1060</v>
      </c>
      <c r="F234" s="215">
        <f>ROUND(E234*0.21,2)</f>
        <v>222.6</v>
      </c>
      <c r="G234" s="216">
        <f>ROUND(E234+F234,0)</f>
        <v>1283</v>
      </c>
      <c r="H234" s="216"/>
      <c r="N234" s="2"/>
      <c r="R234" s="75"/>
      <c r="S234" s="75"/>
    </row>
    <row r="235" spans="1:19" s="5" customFormat="1" ht="15.75" customHeight="1" x14ac:dyDescent="0.2">
      <c r="A235" s="11" t="s">
        <v>248</v>
      </c>
      <c r="B235" s="5" t="s">
        <v>77</v>
      </c>
      <c r="C235" s="5" t="s">
        <v>94</v>
      </c>
      <c r="D235" s="75">
        <v>20200290</v>
      </c>
      <c r="E235" s="12">
        <v>3940</v>
      </c>
      <c r="F235" s="215">
        <f>ROUND(E235*0.15,2)</f>
        <v>591</v>
      </c>
      <c r="G235" s="216">
        <f>ROUND(E235+F235,0)</f>
        <v>4531</v>
      </c>
      <c r="H235" s="216"/>
      <c r="N235" s="2"/>
      <c r="R235" s="75"/>
      <c r="S235" s="75"/>
    </row>
    <row r="236" spans="1:19" s="5" customFormat="1" ht="15.75" customHeight="1" x14ac:dyDescent="0.2">
      <c r="A236" s="11" t="s">
        <v>249</v>
      </c>
      <c r="B236" s="2" t="s">
        <v>17</v>
      </c>
      <c r="C236" s="5" t="s">
        <v>250</v>
      </c>
      <c r="D236" s="75">
        <v>421200147</v>
      </c>
      <c r="E236" s="12">
        <f>750+261.98</f>
        <v>1011.98</v>
      </c>
      <c r="F236" s="215">
        <f>ROUND(E236*0.21,2)</f>
        <v>212.52</v>
      </c>
      <c r="G236" s="216">
        <f>ROUND(E236+F236,2)</f>
        <v>1224.5</v>
      </c>
      <c r="H236" s="216"/>
      <c r="N236" s="2"/>
      <c r="R236" s="75"/>
      <c r="S236" s="75"/>
    </row>
    <row r="237" spans="1:19" s="5" customFormat="1" ht="15.75" customHeight="1" x14ac:dyDescent="0.2">
      <c r="A237" s="11" t="s">
        <v>251</v>
      </c>
      <c r="B237" s="2" t="s">
        <v>17</v>
      </c>
      <c r="C237" s="5" t="s">
        <v>252</v>
      </c>
      <c r="D237" s="75">
        <v>421200164</v>
      </c>
      <c r="E237" s="12">
        <v>3396.86</v>
      </c>
      <c r="F237" s="215">
        <v>524.14</v>
      </c>
      <c r="G237" s="216">
        <f>ROUND(E237+F237,2)</f>
        <v>3921</v>
      </c>
      <c r="H237" s="216"/>
      <c r="N237" s="2"/>
      <c r="R237" s="75"/>
      <c r="S237" s="75"/>
    </row>
    <row r="238" spans="1:19" s="5" customFormat="1" ht="15.75" customHeight="1" x14ac:dyDescent="0.2">
      <c r="A238" s="11" t="s">
        <v>253</v>
      </c>
      <c r="B238" s="5" t="s">
        <v>77</v>
      </c>
      <c r="C238" s="5" t="s">
        <v>93</v>
      </c>
      <c r="D238" s="75">
        <v>20200360</v>
      </c>
      <c r="E238" s="12">
        <v>1740</v>
      </c>
      <c r="F238" s="215">
        <f>ROUND(E238*0.15,2)</f>
        <v>261</v>
      </c>
      <c r="G238" s="216">
        <f>ROUND(E238+F238,0)</f>
        <v>2001</v>
      </c>
      <c r="H238" s="216"/>
      <c r="N238" s="2"/>
      <c r="R238" s="75"/>
      <c r="S238" s="75"/>
    </row>
    <row r="239" spans="1:19" s="5" customFormat="1" ht="15.75" customHeight="1" x14ac:dyDescent="0.2">
      <c r="A239" s="11" t="s">
        <v>254</v>
      </c>
      <c r="B239" s="5" t="s">
        <v>78</v>
      </c>
      <c r="C239" s="5" t="s">
        <v>255</v>
      </c>
      <c r="D239" s="75" t="s">
        <v>256</v>
      </c>
      <c r="E239" s="12">
        <f>3*380+75*6+3*380+35*6</f>
        <v>2940</v>
      </c>
      <c r="F239" s="215">
        <f>ROUND(E239*0.21,2)</f>
        <v>617.4</v>
      </c>
      <c r="G239" s="216">
        <f>ROUND(E239+F239,0)</f>
        <v>3557</v>
      </c>
      <c r="H239" s="216"/>
      <c r="N239" s="2"/>
      <c r="R239" s="75"/>
      <c r="S239" s="75"/>
    </row>
    <row r="240" spans="1:19" s="5" customFormat="1" ht="15.75" customHeight="1" x14ac:dyDescent="0.2">
      <c r="A240" s="11" t="s">
        <v>257</v>
      </c>
      <c r="B240" s="5" t="s">
        <v>258</v>
      </c>
      <c r="C240" s="5" t="s">
        <v>259</v>
      </c>
      <c r="D240" s="75">
        <v>1412690035</v>
      </c>
      <c r="E240" s="12">
        <v>3000</v>
      </c>
      <c r="F240" s="215">
        <v>0</v>
      </c>
      <c r="G240" s="216">
        <f>ROUND(E240+F240,0)</f>
        <v>3000</v>
      </c>
      <c r="H240" s="216"/>
      <c r="N240" s="2"/>
      <c r="R240" s="75"/>
      <c r="S240" s="75"/>
    </row>
    <row r="241" spans="1:19" s="5" customFormat="1" ht="15.75" customHeight="1" x14ac:dyDescent="0.2">
      <c r="A241" s="11" t="s">
        <v>260</v>
      </c>
      <c r="B241" s="5" t="s">
        <v>78</v>
      </c>
      <c r="C241" s="5" t="s">
        <v>261</v>
      </c>
      <c r="D241" s="75" t="s">
        <v>262</v>
      </c>
      <c r="E241" s="12">
        <f>2*189+2140</f>
        <v>2518</v>
      </c>
      <c r="F241" s="215">
        <f>ROUND(E241*0.21,2)</f>
        <v>528.78</v>
      </c>
      <c r="G241" s="216">
        <f>ROUND(E241+F241,0)</f>
        <v>3047</v>
      </c>
      <c r="H241" s="216"/>
      <c r="N241" s="2"/>
      <c r="R241" s="75"/>
      <c r="S241" s="75"/>
    </row>
    <row r="242" spans="1:19" s="5" customFormat="1" ht="15.75" customHeight="1" x14ac:dyDescent="0.2">
      <c r="A242" s="11" t="s">
        <v>263</v>
      </c>
      <c r="B242" s="5" t="s">
        <v>107</v>
      </c>
      <c r="C242" s="5" t="s">
        <v>264</v>
      </c>
      <c r="D242" s="75">
        <v>20010339</v>
      </c>
      <c r="E242" s="12">
        <v>1950</v>
      </c>
      <c r="F242" s="215">
        <f>ROUND(E242*0.15,2)</f>
        <v>292.5</v>
      </c>
      <c r="G242" s="216">
        <f>ROUND(E242+F242,1)</f>
        <v>2242.5</v>
      </c>
      <c r="H242" s="216"/>
      <c r="N242" s="2"/>
      <c r="R242" s="75"/>
      <c r="S242" s="75"/>
    </row>
    <row r="243" spans="1:19" s="5" customFormat="1" ht="15.75" customHeight="1" x14ac:dyDescent="0.2">
      <c r="A243" s="11" t="s">
        <v>265</v>
      </c>
      <c r="B243" s="5" t="s">
        <v>76</v>
      </c>
      <c r="C243" s="5" t="s">
        <v>266</v>
      </c>
      <c r="D243" s="75">
        <v>600201198</v>
      </c>
      <c r="E243" s="12">
        <f>2*205+380+600</f>
        <v>1390</v>
      </c>
      <c r="F243" s="215">
        <f>ROUND(E243*0.21,2)</f>
        <v>291.89999999999998</v>
      </c>
      <c r="G243" s="216">
        <f>ROUND(E243+F243,0)</f>
        <v>1682</v>
      </c>
      <c r="H243" s="216"/>
      <c r="N243" s="2"/>
      <c r="R243" s="75"/>
      <c r="S243" s="75"/>
    </row>
    <row r="244" spans="1:19" s="5" customFormat="1" ht="15.75" customHeight="1" x14ac:dyDescent="0.2">
      <c r="A244" s="11" t="s">
        <v>267</v>
      </c>
      <c r="B244" s="5" t="s">
        <v>78</v>
      </c>
      <c r="C244" s="5" t="s">
        <v>268</v>
      </c>
      <c r="D244" s="75" t="s">
        <v>269</v>
      </c>
      <c r="E244" s="12">
        <v>1300</v>
      </c>
      <c r="F244" s="215">
        <f>ROUND(E244*0.21,2)</f>
        <v>273</v>
      </c>
      <c r="G244" s="216">
        <f>ROUND(E244+F244,0)</f>
        <v>1573</v>
      </c>
      <c r="H244" s="216"/>
      <c r="N244" s="2"/>
      <c r="R244" s="75"/>
      <c r="S244" s="75"/>
    </row>
    <row r="245" spans="1:19" s="5" customFormat="1" ht="15.75" customHeight="1" x14ac:dyDescent="0.2">
      <c r="A245" s="11" t="s">
        <v>270</v>
      </c>
      <c r="B245" s="5" t="s">
        <v>77</v>
      </c>
      <c r="C245" s="5" t="s">
        <v>94</v>
      </c>
      <c r="D245" s="75">
        <v>20200506</v>
      </c>
      <c r="E245" s="12">
        <v>3940</v>
      </c>
      <c r="F245" s="215">
        <f>ROUND(E245*0.15,2)</f>
        <v>591</v>
      </c>
      <c r="G245" s="216">
        <f>ROUND(E245+F245,0)</f>
        <v>4531</v>
      </c>
      <c r="H245" s="216"/>
      <c r="N245" s="2"/>
      <c r="R245" s="75"/>
      <c r="S245" s="75"/>
    </row>
    <row r="246" spans="1:19" s="5" customFormat="1" ht="15.75" customHeight="1" x14ac:dyDescent="0.2">
      <c r="A246" s="11" t="s">
        <v>271</v>
      </c>
      <c r="B246" s="5" t="s">
        <v>107</v>
      </c>
      <c r="C246" s="5" t="s">
        <v>272</v>
      </c>
      <c r="D246" s="75">
        <v>20010514</v>
      </c>
      <c r="E246" s="12">
        <v>1050</v>
      </c>
      <c r="F246" s="215">
        <f>ROUND(E246*0.15,2)</f>
        <v>157.5</v>
      </c>
      <c r="G246" s="216">
        <f>ROUND(E246+F246,1)</f>
        <v>1207.5</v>
      </c>
      <c r="H246" s="216"/>
      <c r="N246" s="2"/>
      <c r="R246" s="75"/>
      <c r="S246" s="75"/>
    </row>
    <row r="247" spans="1:19" s="5" customFormat="1" ht="15.75" customHeight="1" x14ac:dyDescent="0.2">
      <c r="A247" s="11" t="s">
        <v>273</v>
      </c>
      <c r="B247" s="2" t="s">
        <v>91</v>
      </c>
      <c r="C247" s="5" t="s">
        <v>274</v>
      </c>
      <c r="D247" s="75">
        <v>20200127</v>
      </c>
      <c r="E247" s="12">
        <v>3880</v>
      </c>
      <c r="F247" s="215">
        <f>ROUND(E247*0.15,2)</f>
        <v>582</v>
      </c>
      <c r="G247" s="216">
        <f>ROUND(E247+F247,1)</f>
        <v>4462</v>
      </c>
      <c r="H247" s="13"/>
      <c r="N247" s="2"/>
      <c r="R247" s="75"/>
      <c r="S247" s="75"/>
    </row>
    <row r="248" spans="1:19" s="5" customFormat="1" ht="15.75" customHeight="1" x14ac:dyDescent="0.2">
      <c r="A248" s="11" t="s">
        <v>275</v>
      </c>
      <c r="B248" s="5" t="s">
        <v>107</v>
      </c>
      <c r="C248" s="5" t="s">
        <v>276</v>
      </c>
      <c r="D248" s="75">
        <v>20010571</v>
      </c>
      <c r="E248" s="12">
        <v>1750</v>
      </c>
      <c r="F248" s="215">
        <f>ROUND(E248*0.15,2)</f>
        <v>262.5</v>
      </c>
      <c r="G248" s="216">
        <f>ROUND(E248+F248,1)</f>
        <v>2012.5</v>
      </c>
      <c r="H248" s="216"/>
      <c r="N248" s="2"/>
      <c r="R248" s="75"/>
      <c r="S248" s="75"/>
    </row>
    <row r="249" spans="1:19" s="5" customFormat="1" ht="15.75" customHeight="1" x14ac:dyDescent="0.2">
      <c r="A249" s="11" t="s">
        <v>277</v>
      </c>
      <c r="B249" s="2" t="s">
        <v>17</v>
      </c>
      <c r="C249" s="5" t="s">
        <v>278</v>
      </c>
      <c r="D249" s="75">
        <v>421200281</v>
      </c>
      <c r="E249" s="12">
        <v>1720</v>
      </c>
      <c r="F249" s="215">
        <f>ROUND(E249*0.1,2)</f>
        <v>172</v>
      </c>
      <c r="G249" s="216">
        <f>ROUND(E249+F249,2)</f>
        <v>1892</v>
      </c>
      <c r="H249" s="216"/>
      <c r="N249" s="2"/>
      <c r="R249" s="75"/>
      <c r="S249" s="75"/>
    </row>
    <row r="250" spans="1:19" s="15" customFormat="1" ht="15.75" customHeight="1" thickBot="1" x14ac:dyDescent="0.25">
      <c r="A250" s="23"/>
      <c r="B250" s="15" t="s">
        <v>0</v>
      </c>
      <c r="D250" s="16"/>
      <c r="E250" s="198">
        <f>SUM(E227:E249)</f>
        <v>64183.41</v>
      </c>
      <c r="F250" s="198">
        <f>SUM(F227:F249)</f>
        <v>9150.6947</v>
      </c>
      <c r="G250" s="30">
        <f>SUM(G227:G249)</f>
        <v>73333.55</v>
      </c>
      <c r="H250" s="60"/>
      <c r="N250" s="14"/>
      <c r="R250" s="16"/>
      <c r="S250" s="16"/>
    </row>
    <row r="251" spans="1:19" ht="15.95" customHeight="1" outlineLevel="1" thickTop="1" x14ac:dyDescent="0.2">
      <c r="A251" s="87"/>
      <c r="D251" s="88"/>
      <c r="E251" s="88"/>
      <c r="F251" s="88"/>
      <c r="G251" s="88"/>
      <c r="H251" s="98"/>
      <c r="I251" s="98"/>
      <c r="J251" s="106"/>
    </row>
    <row r="252" spans="1:19" s="5" customFormat="1" ht="15.75" customHeight="1" outlineLevel="1" x14ac:dyDescent="0.25">
      <c r="A252" s="2"/>
      <c r="B252" s="3" t="s">
        <v>22</v>
      </c>
      <c r="C252" s="7"/>
      <c r="D252" s="75"/>
      <c r="J252" s="32"/>
      <c r="M252" s="59"/>
      <c r="N252" s="2"/>
      <c r="R252" s="75"/>
      <c r="S252" s="75"/>
    </row>
    <row r="253" spans="1:19" ht="15.95" customHeight="1" outlineLevel="1" x14ac:dyDescent="0.2">
      <c r="B253" s="79" t="s">
        <v>1</v>
      </c>
      <c r="C253" s="79" t="s">
        <v>2</v>
      </c>
      <c r="D253" s="81"/>
      <c r="E253" s="139" t="s">
        <v>6</v>
      </c>
      <c r="F253" s="139" t="s">
        <v>14</v>
      </c>
      <c r="G253" s="81" t="s">
        <v>0</v>
      </c>
      <c r="J253" s="107"/>
    </row>
    <row r="254" spans="1:19" ht="15.95" customHeight="1" outlineLevel="1" x14ac:dyDescent="0.2">
      <c r="D254" s="81"/>
      <c r="E254" s="88"/>
      <c r="F254" s="83"/>
      <c r="G254" s="109"/>
      <c r="J254" s="107"/>
    </row>
    <row r="255" spans="1:19" s="15" customFormat="1" ht="15.75" customHeight="1" thickBot="1" x14ac:dyDescent="0.25">
      <c r="A255" s="23"/>
      <c r="B255" s="15" t="s">
        <v>0</v>
      </c>
      <c r="D255" s="16"/>
      <c r="E255" s="17">
        <f>SUM(E254:E254)</f>
        <v>0</v>
      </c>
      <c r="F255" s="17">
        <f>SUM(F254:F254)</f>
        <v>0</v>
      </c>
      <c r="G255" s="57">
        <f>SUM(G254:G254)</f>
        <v>0</v>
      </c>
      <c r="N255" s="14"/>
      <c r="R255" s="16"/>
      <c r="S255" s="16"/>
    </row>
    <row r="256" spans="1:19" ht="15.95" customHeight="1" thickTop="1" x14ac:dyDescent="0.2"/>
    <row r="257" spans="1:19" s="5" customFormat="1" ht="15.75" customHeight="1" outlineLevel="1" x14ac:dyDescent="0.25">
      <c r="A257" s="2"/>
      <c r="B257" s="3" t="s">
        <v>30</v>
      </c>
      <c r="C257" s="7"/>
      <c r="D257" s="31"/>
      <c r="N257" s="2"/>
      <c r="R257" s="75"/>
      <c r="S257" s="75"/>
    </row>
    <row r="258" spans="1:19" ht="15.95" customHeight="1" outlineLevel="1" x14ac:dyDescent="0.2">
      <c r="B258" s="79" t="s">
        <v>1</v>
      </c>
      <c r="C258" s="79" t="s">
        <v>2</v>
      </c>
      <c r="D258" s="81"/>
      <c r="E258" s="139" t="s">
        <v>6</v>
      </c>
      <c r="F258" s="139" t="s">
        <v>14</v>
      </c>
      <c r="G258" s="81" t="s">
        <v>0</v>
      </c>
      <c r="J258" s="89"/>
    </row>
    <row r="259" spans="1:19" s="212" customFormat="1" ht="15.75" customHeight="1" outlineLevel="1" x14ac:dyDescent="0.25">
      <c r="A259" s="151" t="s">
        <v>279</v>
      </c>
      <c r="B259" s="5" t="s">
        <v>92</v>
      </c>
      <c r="C259" s="5" t="s">
        <v>280</v>
      </c>
      <c r="D259" s="75">
        <v>2020007</v>
      </c>
      <c r="E259" s="12">
        <v>750</v>
      </c>
      <c r="F259" s="12">
        <v>0</v>
      </c>
      <c r="G259" s="12">
        <f>ROUND(SUM(E259:F259),2)</f>
        <v>750</v>
      </c>
      <c r="I259" s="117"/>
      <c r="M259" s="213"/>
      <c r="Q259" s="214"/>
      <c r="R259" s="214"/>
    </row>
    <row r="260" spans="1:19" s="5" customFormat="1" ht="15.75" customHeight="1" x14ac:dyDescent="0.2">
      <c r="A260" s="2">
        <v>20190025</v>
      </c>
      <c r="B260" s="5" t="s">
        <v>17</v>
      </c>
      <c r="C260" s="5" t="s">
        <v>281</v>
      </c>
      <c r="D260" s="75">
        <v>421200057</v>
      </c>
      <c r="E260" s="12">
        <v>300</v>
      </c>
      <c r="F260" s="12">
        <f>E260*0.21</f>
        <v>63</v>
      </c>
      <c r="G260" s="12">
        <f>ROUND(SUM(E260:F260),2)</f>
        <v>363</v>
      </c>
      <c r="H260" s="13"/>
      <c r="I260" s="13"/>
      <c r="J260" s="13"/>
      <c r="N260" s="2"/>
      <c r="R260" s="75"/>
      <c r="S260" s="75"/>
    </row>
    <row r="261" spans="1:19" s="212" customFormat="1" ht="15.75" customHeight="1" outlineLevel="1" x14ac:dyDescent="0.25">
      <c r="A261" s="151" t="s">
        <v>282</v>
      </c>
      <c r="B261" s="5" t="s">
        <v>92</v>
      </c>
      <c r="C261" s="5" t="s">
        <v>283</v>
      </c>
      <c r="D261" s="75">
        <v>2020018</v>
      </c>
      <c r="E261" s="12">
        <v>5970</v>
      </c>
      <c r="F261" s="12">
        <v>0</v>
      </c>
      <c r="G261" s="12">
        <f>ROUND(SUM(E261:F261),2)</f>
        <v>5970</v>
      </c>
      <c r="I261" s="117"/>
      <c r="M261" s="213"/>
      <c r="Q261" s="214"/>
      <c r="R261" s="214"/>
    </row>
    <row r="262" spans="1:19" s="5" customFormat="1" ht="15.75" customHeight="1" x14ac:dyDescent="0.2">
      <c r="A262" s="2">
        <v>20190039</v>
      </c>
      <c r="B262" s="5" t="s">
        <v>17</v>
      </c>
      <c r="C262" s="5" t="s">
        <v>281</v>
      </c>
      <c r="D262" s="75">
        <v>421200102</v>
      </c>
      <c r="E262" s="12">
        <v>600</v>
      </c>
      <c r="F262" s="12">
        <f>E262*0.21</f>
        <v>126</v>
      </c>
      <c r="G262" s="12">
        <f>ROUND(SUM(E262:F262),2)</f>
        <v>726</v>
      </c>
      <c r="H262" s="13"/>
      <c r="I262" s="13"/>
      <c r="J262" s="13"/>
      <c r="N262" s="2"/>
      <c r="R262" s="75"/>
      <c r="S262" s="75"/>
    </row>
    <row r="263" spans="1:19" s="212" customFormat="1" ht="15.75" customHeight="1" outlineLevel="1" x14ac:dyDescent="0.25">
      <c r="A263" s="151" t="s">
        <v>284</v>
      </c>
      <c r="B263" s="5" t="s">
        <v>92</v>
      </c>
      <c r="C263" s="5" t="s">
        <v>285</v>
      </c>
      <c r="D263" s="75">
        <v>2020023</v>
      </c>
      <c r="E263" s="12">
        <f>4590+1300</f>
        <v>5890</v>
      </c>
      <c r="F263" s="12">
        <v>0</v>
      </c>
      <c r="G263" s="12">
        <f>ROUND(SUM(E263:F263),2)</f>
        <v>5890</v>
      </c>
      <c r="I263" s="117"/>
      <c r="M263" s="213"/>
      <c r="Q263" s="214"/>
      <c r="R263" s="214"/>
    </row>
    <row r="264" spans="1:19" s="212" customFormat="1" ht="15.75" customHeight="1" x14ac:dyDescent="0.25">
      <c r="A264" s="199">
        <v>20190046</v>
      </c>
      <c r="B264" s="5" t="s">
        <v>92</v>
      </c>
      <c r="C264" s="5" t="s">
        <v>286</v>
      </c>
      <c r="D264" s="75">
        <v>2020028</v>
      </c>
      <c r="E264" s="195">
        <f>2965+9075+930</f>
        <v>12970</v>
      </c>
      <c r="F264" s="195">
        <v>0</v>
      </c>
      <c r="G264" s="195">
        <f t="shared" ref="G264:G268" si="55">ROUND(SUM(E264:F264),2)</f>
        <v>12970</v>
      </c>
      <c r="H264" s="117"/>
      <c r="I264" s="117"/>
      <c r="J264" s="13"/>
      <c r="N264" s="213"/>
      <c r="R264" s="214"/>
      <c r="S264" s="214"/>
    </row>
    <row r="265" spans="1:19" s="212" customFormat="1" ht="15.75" customHeight="1" x14ac:dyDescent="0.25">
      <c r="A265" s="199">
        <v>20190058</v>
      </c>
      <c r="B265" s="5" t="s">
        <v>92</v>
      </c>
      <c r="C265" s="5" t="s">
        <v>287</v>
      </c>
      <c r="D265" s="75">
        <v>2020035</v>
      </c>
      <c r="E265" s="195">
        <f>2450+450</f>
        <v>2900</v>
      </c>
      <c r="F265" s="195">
        <f>E265*0.21</f>
        <v>609</v>
      </c>
      <c r="G265" s="195">
        <f t="shared" si="55"/>
        <v>3509</v>
      </c>
      <c r="H265" s="117"/>
      <c r="I265" s="117"/>
      <c r="J265" s="13"/>
      <c r="N265" s="213"/>
      <c r="R265" s="214"/>
      <c r="S265" s="214"/>
    </row>
    <row r="266" spans="1:19" s="212" customFormat="1" ht="15.75" customHeight="1" x14ac:dyDescent="0.25">
      <c r="A266" s="199">
        <v>20190078</v>
      </c>
      <c r="B266" s="5" t="s">
        <v>92</v>
      </c>
      <c r="C266" s="5" t="s">
        <v>288</v>
      </c>
      <c r="D266" s="75">
        <v>2020051</v>
      </c>
      <c r="E266" s="195">
        <f>7500+500</f>
        <v>8000</v>
      </c>
      <c r="F266" s="195">
        <f>E266*0.21</f>
        <v>1680</v>
      </c>
      <c r="G266" s="195">
        <f t="shared" si="55"/>
        <v>9680</v>
      </c>
      <c r="H266" s="117"/>
      <c r="I266" s="117"/>
      <c r="J266" s="13"/>
      <c r="N266" s="213"/>
      <c r="R266" s="214"/>
      <c r="S266" s="214"/>
    </row>
    <row r="267" spans="1:19" s="212" customFormat="1" ht="15.75" customHeight="1" x14ac:dyDescent="0.25">
      <c r="A267" s="199">
        <v>20190096</v>
      </c>
      <c r="B267" s="5" t="s">
        <v>92</v>
      </c>
      <c r="C267" s="5" t="s">
        <v>289</v>
      </c>
      <c r="D267" s="75">
        <v>2020060</v>
      </c>
      <c r="E267" s="195">
        <v>2450.41</v>
      </c>
      <c r="F267" s="195">
        <f>E267*0.21</f>
        <v>514.58609999999999</v>
      </c>
      <c r="G267" s="195">
        <f t="shared" si="55"/>
        <v>2965</v>
      </c>
      <c r="H267" s="117"/>
      <c r="I267" s="117"/>
      <c r="J267" s="13"/>
      <c r="N267" s="213"/>
      <c r="R267" s="214"/>
      <c r="S267" s="214"/>
    </row>
    <row r="268" spans="1:19" s="212" customFormat="1" ht="15.75" customHeight="1" x14ac:dyDescent="0.25">
      <c r="A268" s="199">
        <v>20190103</v>
      </c>
      <c r="B268" s="5" t="s">
        <v>92</v>
      </c>
      <c r="C268" s="5" t="s">
        <v>290</v>
      </c>
      <c r="D268" s="75">
        <v>2020063</v>
      </c>
      <c r="E268" s="195">
        <v>2450.41</v>
      </c>
      <c r="F268" s="195">
        <f>E268*0.21</f>
        <v>514.58609999999999</v>
      </c>
      <c r="G268" s="195">
        <f t="shared" si="55"/>
        <v>2965</v>
      </c>
      <c r="H268" s="117"/>
      <c r="I268" s="117"/>
      <c r="J268" s="13"/>
      <c r="N268" s="213"/>
      <c r="R268" s="214"/>
      <c r="S268" s="214"/>
    </row>
    <row r="269" spans="1:19" s="15" customFormat="1" ht="15.75" customHeight="1" outlineLevel="1" thickBot="1" x14ac:dyDescent="0.25">
      <c r="A269" s="23"/>
      <c r="B269" s="15" t="s">
        <v>0</v>
      </c>
      <c r="D269" s="16"/>
      <c r="E269" s="50">
        <f>SUM(E259:E268)</f>
        <v>42280.820000000007</v>
      </c>
      <c r="F269" s="50">
        <f>SUM(F259:F268)</f>
        <v>3507.1722</v>
      </c>
      <c r="G269" s="58">
        <f>SUM(G259:G268)</f>
        <v>45788</v>
      </c>
      <c r="I269" s="52"/>
      <c r="J269" s="52"/>
      <c r="N269" s="14"/>
      <c r="R269" s="16"/>
      <c r="S269" s="16"/>
    </row>
    <row r="270" spans="1:19" ht="15.95" customHeight="1" outlineLevel="1" thickTop="1" x14ac:dyDescent="0.2">
      <c r="A270" s="87"/>
      <c r="D270" s="98"/>
      <c r="E270" s="98"/>
      <c r="F270" s="98"/>
      <c r="I270" s="89"/>
      <c r="M270" s="77"/>
      <c r="N270" s="79"/>
      <c r="Q270" s="81"/>
      <c r="S270" s="79"/>
    </row>
    <row r="271" spans="1:19" s="5" customFormat="1" ht="15.75" customHeight="1" outlineLevel="1" x14ac:dyDescent="0.25">
      <c r="A271" s="2"/>
      <c r="B271" s="3" t="s">
        <v>19</v>
      </c>
      <c r="C271" s="7"/>
      <c r="D271" s="75"/>
      <c r="E271" s="75"/>
      <c r="I271" s="56">
        <v>2537</v>
      </c>
      <c r="J271" s="56">
        <v>2538</v>
      </c>
      <c r="K271" s="56">
        <v>2539</v>
      </c>
      <c r="P271" s="75"/>
      <c r="Q271" s="75"/>
    </row>
    <row r="272" spans="1:19" ht="15.95" customHeight="1" outlineLevel="1" x14ac:dyDescent="0.2">
      <c r="B272" s="79" t="s">
        <v>1</v>
      </c>
      <c r="C272" s="79" t="s">
        <v>2</v>
      </c>
      <c r="E272" s="139" t="s">
        <v>6</v>
      </c>
      <c r="F272" s="139" t="s">
        <v>7</v>
      </c>
      <c r="G272" s="139" t="s">
        <v>9</v>
      </c>
      <c r="H272" s="81" t="s">
        <v>0</v>
      </c>
      <c r="I272" s="111"/>
      <c r="J272" s="108"/>
      <c r="K272" s="111"/>
      <c r="N272" s="79"/>
      <c r="P272" s="81"/>
      <c r="Q272" s="81"/>
      <c r="R272" s="79"/>
      <c r="S272" s="79"/>
    </row>
    <row r="273" spans="1:17" s="212" customFormat="1" ht="15.75" customHeight="1" outlineLevel="1" x14ac:dyDescent="0.25">
      <c r="A273" s="2">
        <v>20190005</v>
      </c>
      <c r="B273" s="5" t="s">
        <v>96</v>
      </c>
      <c r="C273" s="5" t="s">
        <v>291</v>
      </c>
      <c r="D273" s="235">
        <v>800286762</v>
      </c>
      <c r="E273" s="215">
        <f>ROUND(3528/3,2)</f>
        <v>1176</v>
      </c>
      <c r="F273" s="215"/>
      <c r="G273" s="215">
        <f>ROUND(E273*0.21,2)</f>
        <v>246.96</v>
      </c>
      <c r="H273" s="215">
        <f>ROUND(SUM(E273:G273),2)</f>
        <v>1422.96</v>
      </c>
      <c r="I273" s="116"/>
      <c r="J273" s="116"/>
      <c r="K273" s="116"/>
      <c r="L273" s="219"/>
      <c r="M273" s="219"/>
      <c r="P273" s="214"/>
      <c r="Q273" s="214"/>
    </row>
    <row r="274" spans="1:17" s="212" customFormat="1" ht="15.75" customHeight="1" outlineLevel="1" x14ac:dyDescent="0.25">
      <c r="A274" s="2"/>
      <c r="B274" s="5"/>
      <c r="C274" s="5" t="s">
        <v>292</v>
      </c>
      <c r="D274" s="235"/>
      <c r="E274" s="215">
        <f>ROUND(7182/3,2)</f>
        <v>2394</v>
      </c>
      <c r="F274" s="215">
        <f>ROUND(E274*0.15,2)</f>
        <v>359.1</v>
      </c>
      <c r="G274" s="116"/>
      <c r="H274" s="215">
        <f>ROUND(SUM(E274:F274),2)</f>
        <v>2753.1</v>
      </c>
      <c r="I274" s="116">
        <f>SUM(H273:H274)</f>
        <v>4176.0599999999995</v>
      </c>
      <c r="J274" s="116"/>
      <c r="K274" s="116"/>
      <c r="L274" s="219"/>
      <c r="M274" s="219"/>
      <c r="P274" s="214"/>
      <c r="Q274" s="214"/>
    </row>
    <row r="275" spans="1:17" s="212" customFormat="1" ht="15.75" customHeight="1" outlineLevel="1" x14ac:dyDescent="0.25">
      <c r="A275" s="2"/>
      <c r="B275" s="5"/>
      <c r="C275" s="5" t="s">
        <v>293</v>
      </c>
      <c r="D275" s="235"/>
      <c r="E275" s="215">
        <f>ROUND(3528/3,2)</f>
        <v>1176</v>
      </c>
      <c r="F275" s="215"/>
      <c r="G275" s="215">
        <f>ROUND(E275*0.21,2)</f>
        <v>246.96</v>
      </c>
      <c r="H275" s="215">
        <f>ROUND(SUM(E275:G275),2)</f>
        <v>1422.96</v>
      </c>
      <c r="I275" s="116"/>
      <c r="J275" s="116"/>
      <c r="K275" s="116"/>
      <c r="L275" s="219"/>
      <c r="M275" s="219"/>
      <c r="P275" s="214"/>
      <c r="Q275" s="214"/>
    </row>
    <row r="276" spans="1:17" s="212" customFormat="1" ht="15.75" customHeight="1" outlineLevel="1" x14ac:dyDescent="0.25">
      <c r="A276" s="2"/>
      <c r="B276" s="5"/>
      <c r="C276" s="5" t="s">
        <v>294</v>
      </c>
      <c r="D276" s="235"/>
      <c r="E276" s="215">
        <f>ROUND(7182/3,2)</f>
        <v>2394</v>
      </c>
      <c r="F276" s="215">
        <f>ROUND(E276*0.15,2)</f>
        <v>359.1</v>
      </c>
      <c r="G276" s="215"/>
      <c r="H276" s="215">
        <f>ROUND(SUM(E276:G276),2)</f>
        <v>2753.1</v>
      </c>
      <c r="I276" s="116"/>
      <c r="J276" s="116">
        <f>SUM(H275:H276)</f>
        <v>4176.0599999999995</v>
      </c>
      <c r="K276" s="116"/>
      <c r="L276" s="219"/>
      <c r="M276" s="219"/>
      <c r="P276" s="214"/>
      <c r="Q276" s="214"/>
    </row>
    <row r="277" spans="1:17" s="212" customFormat="1" ht="15.75" customHeight="1" outlineLevel="1" x14ac:dyDescent="0.25">
      <c r="A277" s="2"/>
      <c r="B277" s="5"/>
      <c r="C277" s="5" t="s">
        <v>295</v>
      </c>
      <c r="D277" s="235"/>
      <c r="E277" s="215">
        <f>ROUND(3528/3,2)</f>
        <v>1176</v>
      </c>
      <c r="F277" s="215"/>
      <c r="G277" s="215">
        <f>ROUND(E277*0.21,2)</f>
        <v>246.96</v>
      </c>
      <c r="H277" s="215">
        <f>ROUND(SUM(E277:G277),2)</f>
        <v>1422.96</v>
      </c>
      <c r="I277" s="116"/>
      <c r="J277" s="116"/>
      <c r="K277" s="116"/>
      <c r="L277" s="219"/>
      <c r="M277" s="219"/>
      <c r="P277" s="214"/>
      <c r="Q277" s="214"/>
    </row>
    <row r="278" spans="1:17" s="212" customFormat="1" ht="15.75" customHeight="1" outlineLevel="1" x14ac:dyDescent="0.25">
      <c r="A278" s="2"/>
      <c r="B278" s="5"/>
      <c r="C278" s="5" t="s">
        <v>296</v>
      </c>
      <c r="D278" s="235"/>
      <c r="E278" s="215">
        <f>ROUND(7182/3,2)</f>
        <v>2394</v>
      </c>
      <c r="F278" s="215">
        <f>ROUND(E278*0.15,2)</f>
        <v>359.1</v>
      </c>
      <c r="G278" s="215"/>
      <c r="H278" s="215">
        <f>ROUND(SUM(E278:G278),2)</f>
        <v>2753.1</v>
      </c>
      <c r="I278" s="116"/>
      <c r="J278" s="116"/>
      <c r="K278" s="116">
        <f>SUM(H277:H278)</f>
        <v>4176.0599999999995</v>
      </c>
      <c r="L278" s="219"/>
      <c r="M278" s="219"/>
      <c r="P278" s="214"/>
      <c r="Q278" s="214"/>
    </row>
    <row r="279" spans="1:17" s="212" customFormat="1" ht="15.75" customHeight="1" outlineLevel="1" x14ac:dyDescent="0.25">
      <c r="A279" s="2">
        <v>20190019</v>
      </c>
      <c r="B279" s="5" t="s">
        <v>96</v>
      </c>
      <c r="C279" s="5" t="s">
        <v>297</v>
      </c>
      <c r="D279" s="75">
        <v>740133469</v>
      </c>
      <c r="E279" s="215">
        <f>650+220</f>
        <v>870</v>
      </c>
      <c r="F279" s="215">
        <f>ROUND(E279*0.15,2)</f>
        <v>130.5</v>
      </c>
      <c r="G279" s="215"/>
      <c r="H279" s="215">
        <f>ROUND(SUM(E279:G279),1)</f>
        <v>1000.5</v>
      </c>
      <c r="I279" s="32">
        <f>H279</f>
        <v>1000.5</v>
      </c>
      <c r="J279" s="116"/>
      <c r="K279" s="116"/>
      <c r="L279" s="219"/>
      <c r="M279" s="219"/>
      <c r="P279" s="214"/>
      <c r="Q279" s="214"/>
    </row>
    <row r="280" spans="1:17" s="212" customFormat="1" ht="15.75" customHeight="1" outlineLevel="1" x14ac:dyDescent="0.25">
      <c r="A280" s="2">
        <v>20190020</v>
      </c>
      <c r="B280" s="5" t="s">
        <v>96</v>
      </c>
      <c r="C280" s="5" t="s">
        <v>298</v>
      </c>
      <c r="D280" s="75">
        <v>740133469</v>
      </c>
      <c r="E280" s="215">
        <f>650+220</f>
        <v>870</v>
      </c>
      <c r="F280" s="215">
        <f>ROUND(E280*0.15,2)</f>
        <v>130.5</v>
      </c>
      <c r="G280" s="215"/>
      <c r="H280" s="215">
        <f>ROUND(SUM(E280:G280),1)</f>
        <v>1000.5</v>
      </c>
      <c r="I280" s="32">
        <f>H280</f>
        <v>1000.5</v>
      </c>
      <c r="J280" s="116"/>
      <c r="K280" s="116"/>
      <c r="L280" s="219"/>
      <c r="M280" s="219"/>
      <c r="P280" s="214"/>
      <c r="Q280" s="214"/>
    </row>
    <row r="281" spans="1:17" s="212" customFormat="1" ht="15.75" customHeight="1" outlineLevel="1" x14ac:dyDescent="0.25">
      <c r="A281" s="2">
        <v>20190027</v>
      </c>
      <c r="B281" s="5" t="s">
        <v>96</v>
      </c>
      <c r="C281" s="5" t="s">
        <v>299</v>
      </c>
      <c r="D281" s="75">
        <v>740133922</v>
      </c>
      <c r="E281" s="215">
        <f>1300+220</f>
        <v>1520</v>
      </c>
      <c r="F281" s="215">
        <f>ROUND(E281*0.15,2)</f>
        <v>228</v>
      </c>
      <c r="G281" s="215"/>
      <c r="H281" s="215">
        <f>ROUND(SUM(E281:G281),1)</f>
        <v>1748</v>
      </c>
      <c r="I281" s="116"/>
      <c r="J281" s="116"/>
      <c r="K281" s="32">
        <f>H281</f>
        <v>1748</v>
      </c>
      <c r="L281" s="219"/>
      <c r="M281" s="219"/>
      <c r="P281" s="214"/>
      <c r="Q281" s="214"/>
    </row>
    <row r="282" spans="1:17" s="212" customFormat="1" ht="15.75" customHeight="1" outlineLevel="1" x14ac:dyDescent="0.25">
      <c r="A282" s="2">
        <v>20190028</v>
      </c>
      <c r="B282" s="5" t="s">
        <v>96</v>
      </c>
      <c r="C282" s="5" t="s">
        <v>300</v>
      </c>
      <c r="D282" s="235">
        <v>800295045</v>
      </c>
      <c r="E282" s="215">
        <f>ROUND(3528/3,2)</f>
        <v>1176</v>
      </c>
      <c r="F282" s="215"/>
      <c r="G282" s="215">
        <f>ROUND(E282*0.21,2)</f>
        <v>246.96</v>
      </c>
      <c r="H282" s="215">
        <f>ROUND(SUM(E282:G282),2)</f>
        <v>1422.96</v>
      </c>
      <c r="I282" s="116"/>
      <c r="J282" s="116"/>
      <c r="K282" s="116"/>
      <c r="L282" s="219"/>
      <c r="M282" s="219"/>
      <c r="P282" s="214"/>
      <c r="Q282" s="214"/>
    </row>
    <row r="283" spans="1:17" s="212" customFormat="1" ht="15.75" customHeight="1" outlineLevel="1" x14ac:dyDescent="0.25">
      <c r="A283" s="2"/>
      <c r="B283" s="5"/>
      <c r="C283" s="5" t="s">
        <v>301</v>
      </c>
      <c r="D283" s="235"/>
      <c r="E283" s="215">
        <f>ROUND(7182/3,2)</f>
        <v>2394</v>
      </c>
      <c r="F283" s="215">
        <f>ROUND(E283*0.15,2)</f>
        <v>359.1</v>
      </c>
      <c r="G283" s="116"/>
      <c r="H283" s="215">
        <f>ROUND(SUM(E283:F283),2)</f>
        <v>2753.1</v>
      </c>
      <c r="I283" s="116">
        <f>SUM(H282:H283)</f>
        <v>4176.0599999999995</v>
      </c>
      <c r="J283" s="116"/>
      <c r="K283" s="116"/>
      <c r="L283" s="219"/>
      <c r="M283" s="219"/>
      <c r="P283" s="214"/>
      <c r="Q283" s="214"/>
    </row>
    <row r="284" spans="1:17" s="212" customFormat="1" ht="15.75" customHeight="1" outlineLevel="1" x14ac:dyDescent="0.25">
      <c r="A284" s="2"/>
      <c r="B284" s="5"/>
      <c r="C284" s="5" t="s">
        <v>302</v>
      </c>
      <c r="D284" s="235"/>
      <c r="E284" s="215">
        <f>ROUND(3528/3,2)</f>
        <v>1176</v>
      </c>
      <c r="F284" s="215"/>
      <c r="G284" s="215">
        <f>ROUND(E284*0.21,2)</f>
        <v>246.96</v>
      </c>
      <c r="H284" s="215">
        <f t="shared" ref="H284:H289" si="56">ROUND(SUM(E284:G284),2)</f>
        <v>1422.96</v>
      </c>
      <c r="I284" s="116"/>
      <c r="J284" s="116"/>
      <c r="K284" s="116"/>
      <c r="L284" s="219"/>
      <c r="M284" s="219"/>
      <c r="P284" s="214"/>
      <c r="Q284" s="214"/>
    </row>
    <row r="285" spans="1:17" s="212" customFormat="1" ht="15.75" customHeight="1" outlineLevel="1" x14ac:dyDescent="0.25">
      <c r="A285" s="2"/>
      <c r="B285" s="5"/>
      <c r="C285" s="5" t="s">
        <v>303</v>
      </c>
      <c r="D285" s="235"/>
      <c r="E285" s="215">
        <f>ROUND(7182/3,2)</f>
        <v>2394</v>
      </c>
      <c r="F285" s="215">
        <f>ROUND(E285*0.15,2)</f>
        <v>359.1</v>
      </c>
      <c r="G285" s="215"/>
      <c r="H285" s="215">
        <f t="shared" si="56"/>
        <v>2753.1</v>
      </c>
      <c r="I285" s="116"/>
      <c r="J285" s="116">
        <f>SUM(H284:H285)</f>
        <v>4176.0599999999995</v>
      </c>
      <c r="K285" s="116"/>
      <c r="L285" s="219"/>
      <c r="M285" s="219"/>
      <c r="P285" s="214"/>
      <c r="Q285" s="214"/>
    </row>
    <row r="286" spans="1:17" s="212" customFormat="1" ht="15.75" customHeight="1" outlineLevel="1" x14ac:dyDescent="0.25">
      <c r="A286" s="2"/>
      <c r="B286" s="5"/>
      <c r="C286" s="5" t="s">
        <v>304</v>
      </c>
      <c r="D286" s="235"/>
      <c r="E286" s="215">
        <f>ROUND(3528/3,2)</f>
        <v>1176</v>
      </c>
      <c r="F286" s="215"/>
      <c r="G286" s="215">
        <f>ROUND(E286*0.21,2)</f>
        <v>246.96</v>
      </c>
      <c r="H286" s="215">
        <f t="shared" si="56"/>
        <v>1422.96</v>
      </c>
      <c r="I286" s="116"/>
      <c r="J286" s="116"/>
      <c r="K286" s="116"/>
      <c r="L286" s="219"/>
      <c r="M286" s="219"/>
      <c r="P286" s="214"/>
      <c r="Q286" s="214"/>
    </row>
    <row r="287" spans="1:17" s="212" customFormat="1" ht="15.75" customHeight="1" outlineLevel="1" x14ac:dyDescent="0.25">
      <c r="A287" s="2"/>
      <c r="B287" s="5"/>
      <c r="C287" s="5" t="s">
        <v>305</v>
      </c>
      <c r="D287" s="235"/>
      <c r="E287" s="215">
        <f>ROUND(7182/3,2)</f>
        <v>2394</v>
      </c>
      <c r="F287" s="215">
        <f>ROUND(E287*0.15,2)</f>
        <v>359.1</v>
      </c>
      <c r="G287" s="215"/>
      <c r="H287" s="215">
        <f t="shared" si="56"/>
        <v>2753.1</v>
      </c>
      <c r="I287" s="116"/>
      <c r="J287" s="116"/>
      <c r="K287" s="116">
        <f>SUM(H286:H287)</f>
        <v>4176.0599999999995</v>
      </c>
      <c r="L287" s="219"/>
      <c r="M287" s="219"/>
      <c r="P287" s="214"/>
      <c r="Q287" s="214"/>
    </row>
    <row r="288" spans="1:17" s="212" customFormat="1" ht="15.75" customHeight="1" outlineLevel="1" x14ac:dyDescent="0.25">
      <c r="A288" s="2">
        <v>20190037</v>
      </c>
      <c r="B288" s="5" t="s">
        <v>96</v>
      </c>
      <c r="C288" s="5" t="s">
        <v>306</v>
      </c>
      <c r="D288" s="75">
        <v>740135179</v>
      </c>
      <c r="E288" s="215">
        <f>375+220</f>
        <v>595</v>
      </c>
      <c r="F288" s="215">
        <f>ROUND(E288*0.15,2)</f>
        <v>89.25</v>
      </c>
      <c r="G288" s="215"/>
      <c r="H288" s="215">
        <f t="shared" si="56"/>
        <v>684.25</v>
      </c>
      <c r="I288" s="32">
        <f>H288</f>
        <v>684.25</v>
      </c>
      <c r="J288" s="116"/>
      <c r="K288" s="116"/>
      <c r="L288" s="219"/>
      <c r="M288" s="219"/>
      <c r="P288" s="214"/>
      <c r="Q288" s="214"/>
    </row>
    <row r="289" spans="1:18" s="212" customFormat="1" ht="15.75" customHeight="1" outlineLevel="1" x14ac:dyDescent="0.25">
      <c r="A289" s="2">
        <v>20190051</v>
      </c>
      <c r="B289" s="5" t="s">
        <v>96</v>
      </c>
      <c r="C289" s="5" t="s">
        <v>307</v>
      </c>
      <c r="D289" s="235">
        <v>800304043</v>
      </c>
      <c r="E289" s="215">
        <f>ROUND(3528/3,2)</f>
        <v>1176</v>
      </c>
      <c r="F289" s="215"/>
      <c r="G289" s="215">
        <f>ROUND(E289*0.21,2)</f>
        <v>246.96</v>
      </c>
      <c r="H289" s="215">
        <f t="shared" si="56"/>
        <v>1422.96</v>
      </c>
      <c r="I289" s="116"/>
      <c r="J289" s="116"/>
      <c r="K289" s="116"/>
      <c r="L289" s="219"/>
      <c r="M289" s="219"/>
      <c r="P289" s="214"/>
      <c r="Q289" s="214"/>
    </row>
    <row r="290" spans="1:18" s="212" customFormat="1" ht="15.75" customHeight="1" outlineLevel="1" x14ac:dyDescent="0.25">
      <c r="A290" s="2"/>
      <c r="B290" s="5"/>
      <c r="C290" s="5" t="s">
        <v>308</v>
      </c>
      <c r="D290" s="235"/>
      <c r="E290" s="215">
        <f>ROUND(7182/3,2)</f>
        <v>2394</v>
      </c>
      <c r="F290" s="215">
        <f>ROUND(E290*0.15,2)</f>
        <v>359.1</v>
      </c>
      <c r="G290" s="116"/>
      <c r="H290" s="215">
        <f>ROUND(SUM(E290:F290),2)</f>
        <v>2753.1</v>
      </c>
      <c r="I290" s="116">
        <f>SUM(H289:H290)</f>
        <v>4176.0599999999995</v>
      </c>
      <c r="J290" s="116"/>
      <c r="K290" s="116"/>
      <c r="L290" s="219"/>
      <c r="M290" s="219"/>
      <c r="P290" s="214"/>
      <c r="Q290" s="214"/>
    </row>
    <row r="291" spans="1:18" s="212" customFormat="1" ht="15.75" customHeight="1" outlineLevel="1" x14ac:dyDescent="0.25">
      <c r="A291" s="2"/>
      <c r="B291" s="5"/>
      <c r="C291" s="5" t="s">
        <v>309</v>
      </c>
      <c r="D291" s="235"/>
      <c r="E291" s="215">
        <f>ROUND(3528/3,2)</f>
        <v>1176</v>
      </c>
      <c r="F291" s="215"/>
      <c r="G291" s="215">
        <f>ROUND(E291*0.21,2)</f>
        <v>246.96</v>
      </c>
      <c r="H291" s="215">
        <f>ROUND(SUM(E291:G291),2)</f>
        <v>1422.96</v>
      </c>
      <c r="I291" s="116"/>
      <c r="J291" s="116"/>
      <c r="K291" s="116"/>
      <c r="L291" s="219"/>
      <c r="M291" s="219"/>
      <c r="P291" s="214"/>
      <c r="Q291" s="214"/>
    </row>
    <row r="292" spans="1:18" s="212" customFormat="1" ht="15.75" customHeight="1" outlineLevel="1" x14ac:dyDescent="0.25">
      <c r="A292" s="2"/>
      <c r="B292" s="5"/>
      <c r="C292" s="5" t="s">
        <v>310</v>
      </c>
      <c r="D292" s="235"/>
      <c r="E292" s="215">
        <f>ROUND(7182/3,2)</f>
        <v>2394</v>
      </c>
      <c r="F292" s="215">
        <f>ROUND(E292*0.15,2)</f>
        <v>359.1</v>
      </c>
      <c r="G292" s="215"/>
      <c r="H292" s="215">
        <f>ROUND(SUM(E292:G292),2)</f>
        <v>2753.1</v>
      </c>
      <c r="I292" s="116"/>
      <c r="J292" s="116">
        <f>SUM(H291:H292)</f>
        <v>4176.0599999999995</v>
      </c>
      <c r="K292" s="116"/>
      <c r="L292" s="219"/>
      <c r="M292" s="219"/>
      <c r="P292" s="214"/>
      <c r="Q292" s="214"/>
    </row>
    <row r="293" spans="1:18" s="212" customFormat="1" ht="15.75" customHeight="1" outlineLevel="1" x14ac:dyDescent="0.25">
      <c r="A293" s="2"/>
      <c r="B293" s="5"/>
      <c r="C293" s="5" t="s">
        <v>311</v>
      </c>
      <c r="D293" s="235"/>
      <c r="E293" s="215">
        <f>ROUND(3528/3,2)</f>
        <v>1176</v>
      </c>
      <c r="F293" s="215"/>
      <c r="G293" s="215">
        <f>ROUND(E293*0.21,2)</f>
        <v>246.96</v>
      </c>
      <c r="H293" s="215">
        <f>ROUND(SUM(E293:G293),2)</f>
        <v>1422.96</v>
      </c>
      <c r="I293" s="116"/>
      <c r="J293" s="116"/>
      <c r="K293" s="116"/>
      <c r="L293" s="219"/>
      <c r="M293" s="219"/>
      <c r="P293" s="214"/>
      <c r="Q293" s="214"/>
    </row>
    <row r="294" spans="1:18" s="212" customFormat="1" ht="15.75" customHeight="1" outlineLevel="1" x14ac:dyDescent="0.25">
      <c r="A294" s="2"/>
      <c r="B294" s="5"/>
      <c r="C294" s="5" t="s">
        <v>312</v>
      </c>
      <c r="D294" s="235"/>
      <c r="E294" s="215">
        <f>ROUND(7182/3,2)</f>
        <v>2394</v>
      </c>
      <c r="F294" s="215">
        <f>ROUND(E294*0.15,2)</f>
        <v>359.1</v>
      </c>
      <c r="G294" s="215"/>
      <c r="H294" s="215">
        <f>ROUND(SUM(E294:G294),2)</f>
        <v>2753.1</v>
      </c>
      <c r="I294" s="116"/>
      <c r="J294" s="116"/>
      <c r="K294" s="116">
        <f>SUM(H293:H294)</f>
        <v>4176.0599999999995</v>
      </c>
      <c r="L294" s="219"/>
      <c r="M294" s="219"/>
      <c r="P294" s="214"/>
      <c r="Q294" s="214"/>
    </row>
    <row r="295" spans="1:18" s="212" customFormat="1" ht="15.75" customHeight="1" outlineLevel="1" x14ac:dyDescent="0.25">
      <c r="A295" s="2">
        <v>20190052</v>
      </c>
      <c r="B295" s="5" t="s">
        <v>96</v>
      </c>
      <c r="C295" s="5" t="s">
        <v>313</v>
      </c>
      <c r="D295" s="75">
        <v>740137230</v>
      </c>
      <c r="E295" s="215">
        <f>2625+220</f>
        <v>2845</v>
      </c>
      <c r="F295" s="215">
        <f>ROUND(E295*0.15,2)</f>
        <v>426.75</v>
      </c>
      <c r="G295" s="215"/>
      <c r="H295" s="215">
        <f t="shared" ref="H295:H296" si="57">ROUND(SUM(E295:G295),2)</f>
        <v>3271.75</v>
      </c>
      <c r="I295" s="32"/>
      <c r="J295" s="32">
        <f>H295</f>
        <v>3271.75</v>
      </c>
      <c r="K295" s="116"/>
      <c r="L295" s="219"/>
      <c r="M295" s="219"/>
      <c r="Q295" s="214"/>
      <c r="R295" s="214"/>
    </row>
    <row r="296" spans="1:18" s="212" customFormat="1" ht="15.75" customHeight="1" outlineLevel="1" x14ac:dyDescent="0.25">
      <c r="A296" s="2">
        <v>20190070</v>
      </c>
      <c r="B296" s="5" t="s">
        <v>96</v>
      </c>
      <c r="C296" s="5" t="s">
        <v>314</v>
      </c>
      <c r="D296" s="75">
        <v>740136050</v>
      </c>
      <c r="E296" s="215">
        <f>10737.48+2625+220</f>
        <v>13582.48</v>
      </c>
      <c r="F296" s="215">
        <f>ROUND(E296*0.15,2)</f>
        <v>2037.37</v>
      </c>
      <c r="G296" s="215"/>
      <c r="H296" s="215">
        <f t="shared" si="57"/>
        <v>15619.85</v>
      </c>
      <c r="I296" s="32"/>
      <c r="J296" s="32">
        <f>H296</f>
        <v>15619.85</v>
      </c>
      <c r="K296" s="116"/>
      <c r="L296" s="219"/>
      <c r="M296" s="219"/>
      <c r="Q296" s="214"/>
      <c r="R296" s="214"/>
    </row>
    <row r="297" spans="1:18" s="212" customFormat="1" ht="15.75" customHeight="1" outlineLevel="1" x14ac:dyDescent="0.25">
      <c r="A297" s="2">
        <v>20190071</v>
      </c>
      <c r="B297" s="5" t="s">
        <v>96</v>
      </c>
      <c r="C297" s="5" t="s">
        <v>315</v>
      </c>
      <c r="D297" s="75">
        <v>740136158</v>
      </c>
      <c r="E297" s="215">
        <f>2250+220</f>
        <v>2470</v>
      </c>
      <c r="F297" s="215">
        <f>ROUND(E297*0.15,2)</f>
        <v>370.5</v>
      </c>
      <c r="G297" s="215"/>
      <c r="H297" s="215">
        <f>ROUND(SUM(E297:G297),1)</f>
        <v>2840.5</v>
      </c>
      <c r="I297" s="116"/>
      <c r="J297" s="116"/>
      <c r="K297" s="32">
        <f>H297</f>
        <v>2840.5</v>
      </c>
      <c r="L297" s="219"/>
      <c r="M297" s="219"/>
      <c r="P297" s="214"/>
      <c r="Q297" s="214"/>
    </row>
    <row r="298" spans="1:18" s="212" customFormat="1" ht="15.75" customHeight="1" outlineLevel="1" x14ac:dyDescent="0.25">
      <c r="A298" s="2">
        <v>20190087</v>
      </c>
      <c r="B298" s="5" t="s">
        <v>96</v>
      </c>
      <c r="C298" s="5" t="s">
        <v>316</v>
      </c>
      <c r="D298" s="235">
        <v>800312909</v>
      </c>
      <c r="E298" s="215">
        <f>ROUND(3528/3,2)</f>
        <v>1176</v>
      </c>
      <c r="F298" s="215"/>
      <c r="G298" s="215">
        <f>ROUND(E298*0.21,2)</f>
        <v>246.96</v>
      </c>
      <c r="H298" s="215">
        <f t="shared" ref="H298" si="58">ROUND(SUM(E298:G298),2)</f>
        <v>1422.96</v>
      </c>
      <c r="I298" s="116"/>
      <c r="J298" s="116"/>
      <c r="K298" s="116"/>
      <c r="L298" s="219"/>
      <c r="M298" s="219"/>
      <c r="P298" s="214"/>
      <c r="Q298" s="214"/>
    </row>
    <row r="299" spans="1:18" s="212" customFormat="1" ht="15.75" customHeight="1" outlineLevel="1" x14ac:dyDescent="0.25">
      <c r="A299" s="2"/>
      <c r="B299" s="5"/>
      <c r="C299" s="5" t="s">
        <v>317</v>
      </c>
      <c r="D299" s="235"/>
      <c r="E299" s="215">
        <f>ROUND(7182/3,2)</f>
        <v>2394</v>
      </c>
      <c r="F299" s="215">
        <f>ROUND(E299*0.15,2)</f>
        <v>359.1</v>
      </c>
      <c r="G299" s="116"/>
      <c r="H299" s="215">
        <f>ROUND(SUM(E299:F299),2)</f>
        <v>2753.1</v>
      </c>
      <c r="I299" s="116">
        <f>SUM(H298:H299)</f>
        <v>4176.0599999999995</v>
      </c>
      <c r="J299" s="116"/>
      <c r="K299" s="116"/>
      <c r="L299" s="219"/>
      <c r="M299" s="219"/>
      <c r="P299" s="214"/>
      <c r="Q299" s="214"/>
    </row>
    <row r="300" spans="1:18" s="212" customFormat="1" ht="15.75" customHeight="1" outlineLevel="1" x14ac:dyDescent="0.25">
      <c r="A300" s="2"/>
      <c r="B300" s="5"/>
      <c r="C300" s="5" t="s">
        <v>318</v>
      </c>
      <c r="D300" s="235"/>
      <c r="E300" s="215">
        <f>ROUND(3528/3,2)</f>
        <v>1176</v>
      </c>
      <c r="F300" s="215"/>
      <c r="G300" s="215">
        <f>ROUND(E300*0.21,2)</f>
        <v>246.96</v>
      </c>
      <c r="H300" s="215">
        <f>ROUND(SUM(E300:G300),2)</f>
        <v>1422.96</v>
      </c>
      <c r="I300" s="116"/>
      <c r="J300" s="116"/>
      <c r="K300" s="116"/>
      <c r="L300" s="219"/>
      <c r="M300" s="219"/>
      <c r="P300" s="214"/>
      <c r="Q300" s="214"/>
    </row>
    <row r="301" spans="1:18" s="212" customFormat="1" ht="15.75" customHeight="1" outlineLevel="1" x14ac:dyDescent="0.25">
      <c r="A301" s="2"/>
      <c r="B301" s="5"/>
      <c r="C301" s="5" t="s">
        <v>319</v>
      </c>
      <c r="D301" s="235"/>
      <c r="E301" s="215">
        <f>ROUND(7182/3,2)</f>
        <v>2394</v>
      </c>
      <c r="F301" s="215">
        <f>ROUND(E301*0.15,2)</f>
        <v>359.1</v>
      </c>
      <c r="G301" s="215"/>
      <c r="H301" s="215">
        <f>ROUND(SUM(E301:G301),2)</f>
        <v>2753.1</v>
      </c>
      <c r="I301" s="116"/>
      <c r="J301" s="116">
        <f>SUM(H300:H301)</f>
        <v>4176.0599999999995</v>
      </c>
      <c r="K301" s="116"/>
      <c r="L301" s="219"/>
      <c r="M301" s="219"/>
      <c r="P301" s="214"/>
      <c r="Q301" s="214"/>
    </row>
    <row r="302" spans="1:18" s="212" customFormat="1" ht="15.75" customHeight="1" outlineLevel="1" x14ac:dyDescent="0.25">
      <c r="A302" s="2"/>
      <c r="B302" s="5"/>
      <c r="C302" s="5" t="s">
        <v>320</v>
      </c>
      <c r="D302" s="235"/>
      <c r="E302" s="215">
        <f>ROUND(3528/3,2)</f>
        <v>1176</v>
      </c>
      <c r="F302" s="215"/>
      <c r="G302" s="215">
        <f>ROUND(E302*0.21,2)</f>
        <v>246.96</v>
      </c>
      <c r="H302" s="215">
        <f>ROUND(SUM(E302:G302),2)</f>
        <v>1422.96</v>
      </c>
      <c r="I302" s="116"/>
      <c r="J302" s="116"/>
      <c r="K302" s="116"/>
      <c r="L302" s="219"/>
      <c r="M302" s="219"/>
      <c r="P302" s="214"/>
      <c r="Q302" s="214"/>
    </row>
    <row r="303" spans="1:18" s="212" customFormat="1" ht="15.75" customHeight="1" outlineLevel="1" x14ac:dyDescent="0.25">
      <c r="A303" s="2"/>
      <c r="B303" s="5"/>
      <c r="C303" s="5" t="s">
        <v>321</v>
      </c>
      <c r="D303" s="235"/>
      <c r="E303" s="215">
        <f>ROUND(7182/3,2)</f>
        <v>2394</v>
      </c>
      <c r="F303" s="215">
        <f t="shared" ref="F303:F311" si="59">ROUND(E303*0.15,2)</f>
        <v>359.1</v>
      </c>
      <c r="G303" s="215"/>
      <c r="H303" s="215">
        <f>ROUND(SUM(E303:G303),2)</f>
        <v>2753.1</v>
      </c>
      <c r="I303" s="116"/>
      <c r="J303" s="116"/>
      <c r="K303" s="116">
        <f>SUM(H302:H303)</f>
        <v>4176.0599999999995</v>
      </c>
      <c r="L303" s="219"/>
      <c r="M303" s="219"/>
      <c r="P303" s="214"/>
      <c r="Q303" s="214"/>
    </row>
    <row r="304" spans="1:18" s="212" customFormat="1" ht="15.75" customHeight="1" outlineLevel="1" x14ac:dyDescent="0.25">
      <c r="A304" s="2">
        <v>20190089</v>
      </c>
      <c r="B304" s="5" t="s">
        <v>96</v>
      </c>
      <c r="C304" s="5" t="s">
        <v>322</v>
      </c>
      <c r="D304" s="75">
        <v>740140142</v>
      </c>
      <c r="E304" s="215">
        <f>375+220</f>
        <v>595</v>
      </c>
      <c r="F304" s="215">
        <f t="shared" si="59"/>
        <v>89.25</v>
      </c>
      <c r="G304" s="215"/>
      <c r="H304" s="215">
        <f t="shared" ref="H304:H311" si="60">ROUND(SUM(E304:G304),2)</f>
        <v>684.25</v>
      </c>
      <c r="I304" s="32"/>
      <c r="J304" s="32">
        <f t="shared" ref="J304:J310" si="61">H304</f>
        <v>684.25</v>
      </c>
      <c r="K304" s="116"/>
      <c r="L304" s="219"/>
      <c r="M304" s="219"/>
      <c r="Q304" s="214"/>
      <c r="R304" s="214"/>
    </row>
    <row r="305" spans="1:19" s="212" customFormat="1" ht="15.75" customHeight="1" outlineLevel="1" x14ac:dyDescent="0.25">
      <c r="A305" s="2">
        <v>20190090</v>
      </c>
      <c r="B305" s="5" t="s">
        <v>96</v>
      </c>
      <c r="C305" s="5" t="s">
        <v>323</v>
      </c>
      <c r="D305" s="75">
        <v>740140190</v>
      </c>
      <c r="E305" s="215">
        <f>3750+220</f>
        <v>3970</v>
      </c>
      <c r="F305" s="215">
        <f t="shared" si="59"/>
        <v>595.5</v>
      </c>
      <c r="G305" s="215"/>
      <c r="H305" s="215">
        <f t="shared" si="60"/>
        <v>4565.5</v>
      </c>
      <c r="I305" s="32"/>
      <c r="J305" s="32">
        <f t="shared" si="61"/>
        <v>4565.5</v>
      </c>
      <c r="K305" s="116"/>
      <c r="L305" s="219"/>
      <c r="M305" s="219"/>
      <c r="Q305" s="214"/>
      <c r="R305" s="214"/>
    </row>
    <row r="306" spans="1:19" s="212" customFormat="1" ht="15.75" customHeight="1" outlineLevel="1" x14ac:dyDescent="0.25">
      <c r="A306" s="2">
        <v>20190091</v>
      </c>
      <c r="B306" s="5" t="s">
        <v>96</v>
      </c>
      <c r="C306" s="5" t="s">
        <v>324</v>
      </c>
      <c r="D306" s="75">
        <v>740140363</v>
      </c>
      <c r="E306" s="215">
        <f>4*750+220</f>
        <v>3220</v>
      </c>
      <c r="F306" s="215">
        <f t="shared" si="59"/>
        <v>483</v>
      </c>
      <c r="G306" s="215"/>
      <c r="H306" s="215">
        <f t="shared" si="60"/>
        <v>3703</v>
      </c>
      <c r="I306" s="32"/>
      <c r="J306" s="32">
        <f t="shared" si="61"/>
        <v>3703</v>
      </c>
      <c r="K306" s="116"/>
      <c r="L306" s="219"/>
      <c r="M306" s="219"/>
      <c r="P306" s="214"/>
      <c r="Q306" s="214"/>
    </row>
    <row r="307" spans="1:19" s="212" customFormat="1" ht="15.75" customHeight="1" outlineLevel="1" x14ac:dyDescent="0.25">
      <c r="A307" s="2">
        <v>20180002</v>
      </c>
      <c r="B307" s="5" t="s">
        <v>96</v>
      </c>
      <c r="C307" s="5" t="s">
        <v>325</v>
      </c>
      <c r="D307" s="75">
        <v>670079498</v>
      </c>
      <c r="E307" s="215">
        <f>-(375+220)</f>
        <v>-595</v>
      </c>
      <c r="F307" s="215">
        <f t="shared" si="59"/>
        <v>-89.25</v>
      </c>
      <c r="G307" s="215"/>
      <c r="H307" s="215">
        <f t="shared" si="60"/>
        <v>-684.25</v>
      </c>
      <c r="I307" s="32"/>
      <c r="J307" s="32">
        <f t="shared" si="61"/>
        <v>-684.25</v>
      </c>
      <c r="K307" s="116"/>
      <c r="L307" s="219"/>
      <c r="M307" s="219"/>
      <c r="Q307" s="214"/>
      <c r="R307" s="214"/>
    </row>
    <row r="308" spans="1:19" s="212" customFormat="1" ht="15.75" customHeight="1" outlineLevel="1" x14ac:dyDescent="0.25">
      <c r="A308" s="2">
        <v>20180003</v>
      </c>
      <c r="B308" s="5" t="s">
        <v>96</v>
      </c>
      <c r="C308" s="5" t="s">
        <v>326</v>
      </c>
      <c r="D308" s="75">
        <v>670079497</v>
      </c>
      <c r="E308" s="215">
        <f>-(3750+220)</f>
        <v>-3970</v>
      </c>
      <c r="F308" s="215">
        <f t="shared" si="59"/>
        <v>-595.5</v>
      </c>
      <c r="G308" s="215"/>
      <c r="H308" s="215">
        <f t="shared" si="60"/>
        <v>-4565.5</v>
      </c>
      <c r="I308" s="32"/>
      <c r="J308" s="32">
        <f t="shared" si="61"/>
        <v>-4565.5</v>
      </c>
      <c r="K308" s="116"/>
      <c r="L308" s="219"/>
      <c r="M308" s="219"/>
      <c r="Q308" s="214"/>
      <c r="R308" s="214"/>
    </row>
    <row r="309" spans="1:19" s="212" customFormat="1" ht="15.75" customHeight="1" outlineLevel="1" x14ac:dyDescent="0.25">
      <c r="A309" s="2">
        <v>20180004</v>
      </c>
      <c r="B309" s="5" t="s">
        <v>96</v>
      </c>
      <c r="C309" s="5" t="s">
        <v>327</v>
      </c>
      <c r="D309" s="75">
        <v>670079499</v>
      </c>
      <c r="E309" s="215">
        <f>-(4*750+220)</f>
        <v>-3220</v>
      </c>
      <c r="F309" s="215">
        <f t="shared" si="59"/>
        <v>-483</v>
      </c>
      <c r="G309" s="215"/>
      <c r="H309" s="215">
        <f t="shared" si="60"/>
        <v>-3703</v>
      </c>
      <c r="I309" s="32"/>
      <c r="J309" s="32">
        <f t="shared" si="61"/>
        <v>-3703</v>
      </c>
      <c r="K309" s="116"/>
      <c r="L309" s="219"/>
      <c r="M309" s="219"/>
      <c r="P309" s="214"/>
      <c r="Q309" s="214"/>
    </row>
    <row r="310" spans="1:19" s="212" customFormat="1" ht="15.75" customHeight="1" outlineLevel="1" x14ac:dyDescent="0.25">
      <c r="A310" s="2">
        <v>20190129</v>
      </c>
      <c r="B310" s="5" t="s">
        <v>96</v>
      </c>
      <c r="C310" s="5" t="s">
        <v>328</v>
      </c>
      <c r="D310" s="75">
        <v>740140467</v>
      </c>
      <c r="E310" s="215">
        <f>750+220</f>
        <v>970</v>
      </c>
      <c r="F310" s="215">
        <f t="shared" si="59"/>
        <v>145.5</v>
      </c>
      <c r="G310" s="215"/>
      <c r="H310" s="215">
        <f t="shared" si="60"/>
        <v>1115.5</v>
      </c>
      <c r="I310" s="32"/>
      <c r="J310" s="32">
        <f t="shared" si="61"/>
        <v>1115.5</v>
      </c>
      <c r="K310" s="116"/>
      <c r="L310" s="219"/>
      <c r="M310" s="219"/>
      <c r="Q310" s="214"/>
      <c r="R310" s="214"/>
    </row>
    <row r="311" spans="1:19" s="212" customFormat="1" ht="15.75" customHeight="1" outlineLevel="1" x14ac:dyDescent="0.25">
      <c r="A311" s="2">
        <v>20180005</v>
      </c>
      <c r="B311" s="5" t="s">
        <v>96</v>
      </c>
      <c r="C311" s="5" t="s">
        <v>329</v>
      </c>
      <c r="D311" s="75">
        <v>670081058</v>
      </c>
      <c r="E311" s="215">
        <f>-(750+220)</f>
        <v>-970</v>
      </c>
      <c r="F311" s="215">
        <f t="shared" si="59"/>
        <v>-145.5</v>
      </c>
      <c r="G311" s="215"/>
      <c r="H311" s="215">
        <f t="shared" si="60"/>
        <v>-1115.5</v>
      </c>
      <c r="I311" s="32"/>
      <c r="J311" s="32">
        <f t="shared" ref="J311" si="62">H311</f>
        <v>-1115.5</v>
      </c>
      <c r="K311" s="116"/>
      <c r="L311" s="219"/>
      <c r="M311" s="219"/>
      <c r="Q311" s="214"/>
      <c r="R311" s="214"/>
    </row>
    <row r="312" spans="1:19" s="15" customFormat="1" ht="15.75" customHeight="1" thickBot="1" x14ac:dyDescent="0.25">
      <c r="A312" s="23"/>
      <c r="B312" s="15" t="s">
        <v>0</v>
      </c>
      <c r="D312" s="50"/>
      <c r="E312" s="50">
        <f>SUM(E273:E311)</f>
        <v>65592.479999999996</v>
      </c>
      <c r="F312" s="50">
        <f t="shared" ref="F312:G312" si="63">SUM(F273:F311)</f>
        <v>7722.07</v>
      </c>
      <c r="G312" s="50">
        <f t="shared" si="63"/>
        <v>2963.52</v>
      </c>
      <c r="H312" s="51">
        <f>SUM(H273:H311)</f>
        <v>76278.070000000007</v>
      </c>
      <c r="I312" s="26">
        <f>SUM(I273:I311)</f>
        <v>19389.489999999998</v>
      </c>
      <c r="J312" s="26">
        <f>SUM(J273:J311)</f>
        <v>35595.839999999997</v>
      </c>
      <c r="K312" s="26">
        <f>SUM(K273:K311)</f>
        <v>21292.739999999998</v>
      </c>
      <c r="N312" s="16"/>
      <c r="O312" s="16"/>
    </row>
    <row r="313" spans="1:19" ht="15.95" customHeight="1" outlineLevel="1" thickTop="1" x14ac:dyDescent="0.2">
      <c r="A313" s="87"/>
      <c r="D313" s="98"/>
      <c r="E313" s="98"/>
      <c r="F313" s="98"/>
      <c r="G313" s="98"/>
      <c r="H313" s="98"/>
      <c r="I313" s="98"/>
      <c r="L313" s="112"/>
      <c r="M313" s="112"/>
    </row>
    <row r="314" spans="1:19" s="5" customFormat="1" ht="15.75" customHeight="1" outlineLevel="1" x14ac:dyDescent="0.25">
      <c r="A314" s="2"/>
      <c r="B314" s="3" t="s">
        <v>31</v>
      </c>
      <c r="D314" s="7"/>
      <c r="E314" s="75"/>
      <c r="G314" s="6"/>
      <c r="J314" s="6"/>
      <c r="K314" s="75"/>
    </row>
    <row r="315" spans="1:19" ht="15.95" customHeight="1" outlineLevel="1" x14ac:dyDescent="0.2">
      <c r="B315" s="79" t="s">
        <v>1</v>
      </c>
      <c r="C315" s="79" t="s">
        <v>2</v>
      </c>
      <c r="E315" s="209" t="s">
        <v>6</v>
      </c>
      <c r="F315" s="209" t="s">
        <v>9</v>
      </c>
      <c r="G315" s="81" t="s">
        <v>0</v>
      </c>
      <c r="H315" s="113" t="s">
        <v>2</v>
      </c>
      <c r="I315" s="209" t="s">
        <v>6</v>
      </c>
      <c r="J315" s="209" t="s">
        <v>9</v>
      </c>
      <c r="K315" s="81" t="s">
        <v>0</v>
      </c>
      <c r="N315" s="81"/>
      <c r="O315" s="81"/>
      <c r="R315" s="79"/>
      <c r="S315" s="79"/>
    </row>
    <row r="316" spans="1:19" ht="15.95" customHeight="1" outlineLevel="1" x14ac:dyDescent="0.2">
      <c r="A316" s="199">
        <v>20190007</v>
      </c>
      <c r="B316" s="118" t="s">
        <v>16</v>
      </c>
      <c r="C316" s="5" t="s">
        <v>330</v>
      </c>
      <c r="D316" s="75">
        <v>420200017</v>
      </c>
      <c r="E316" s="195">
        <f t="shared" ref="E316:E327" si="64">104*120+4*120</f>
        <v>12960</v>
      </c>
      <c r="F316" s="195">
        <f t="shared" ref="F316:F327" si="65">E316*0.21</f>
        <v>2721.6</v>
      </c>
      <c r="G316" s="88">
        <f t="shared" ref="G316" si="66">ROUND(SUM(E316:F316),2)</f>
        <v>15681.6</v>
      </c>
      <c r="H316" s="220" t="s">
        <v>342</v>
      </c>
      <c r="I316" s="191">
        <v>1040</v>
      </c>
      <c r="J316" s="191">
        <v>218.4</v>
      </c>
      <c r="K316" s="88">
        <f t="shared" ref="K316:K327" si="67">ROUND(SUM(I316:J316),2)</f>
        <v>1258.4000000000001</v>
      </c>
      <c r="N316" s="81"/>
      <c r="O316" s="81"/>
      <c r="R316" s="79"/>
      <c r="S316" s="79"/>
    </row>
    <row r="317" spans="1:19" ht="15.95" customHeight="1" outlineLevel="1" x14ac:dyDescent="0.2">
      <c r="A317" s="199">
        <v>20190013</v>
      </c>
      <c r="B317" s="118" t="s">
        <v>16</v>
      </c>
      <c r="C317" s="5" t="s">
        <v>331</v>
      </c>
      <c r="D317" s="75">
        <v>420200045</v>
      </c>
      <c r="E317" s="195">
        <f t="shared" si="64"/>
        <v>12960</v>
      </c>
      <c r="F317" s="195">
        <f t="shared" si="65"/>
        <v>2721.6</v>
      </c>
      <c r="G317" s="88">
        <f t="shared" ref="G317:G327" si="68">ROUND(SUM(E317:F317),2)</f>
        <v>15681.6</v>
      </c>
      <c r="H317" s="220" t="s">
        <v>343</v>
      </c>
      <c r="I317" s="191">
        <v>1040</v>
      </c>
      <c r="J317" s="191">
        <v>218.4</v>
      </c>
      <c r="K317" s="88">
        <f t="shared" si="67"/>
        <v>1258.4000000000001</v>
      </c>
      <c r="N317" s="81"/>
      <c r="O317" s="81"/>
      <c r="R317" s="79"/>
      <c r="S317" s="79"/>
    </row>
    <row r="318" spans="1:19" ht="15.95" customHeight="1" outlineLevel="1" x14ac:dyDescent="0.2">
      <c r="A318" s="199">
        <v>20190022</v>
      </c>
      <c r="B318" s="118" t="s">
        <v>16</v>
      </c>
      <c r="C318" s="5" t="s">
        <v>332</v>
      </c>
      <c r="D318" s="75">
        <v>420200073</v>
      </c>
      <c r="E318" s="195">
        <f t="shared" si="64"/>
        <v>12960</v>
      </c>
      <c r="F318" s="195">
        <f t="shared" si="65"/>
        <v>2721.6</v>
      </c>
      <c r="G318" s="88">
        <f t="shared" si="68"/>
        <v>15681.6</v>
      </c>
      <c r="H318" s="220" t="s">
        <v>344</v>
      </c>
      <c r="I318" s="191">
        <v>1040</v>
      </c>
      <c r="J318" s="191">
        <v>218.4</v>
      </c>
      <c r="K318" s="88">
        <f t="shared" si="67"/>
        <v>1258.4000000000001</v>
      </c>
      <c r="N318" s="81"/>
      <c r="O318" s="81"/>
      <c r="R318" s="79"/>
      <c r="S318" s="79"/>
    </row>
    <row r="319" spans="1:19" ht="15.95" customHeight="1" outlineLevel="1" x14ac:dyDescent="0.2">
      <c r="A319" s="199">
        <v>20190032</v>
      </c>
      <c r="B319" s="118" t="s">
        <v>16</v>
      </c>
      <c r="C319" s="5" t="s">
        <v>333</v>
      </c>
      <c r="D319" s="75">
        <v>420200101</v>
      </c>
      <c r="E319" s="195">
        <f t="shared" si="64"/>
        <v>12960</v>
      </c>
      <c r="F319" s="195">
        <f t="shared" si="65"/>
        <v>2721.6</v>
      </c>
      <c r="G319" s="88">
        <f t="shared" si="68"/>
        <v>15681.6</v>
      </c>
      <c r="H319" s="220" t="s">
        <v>345</v>
      </c>
      <c r="I319" s="191">
        <v>1040</v>
      </c>
      <c r="J319" s="191">
        <v>218.4</v>
      </c>
      <c r="K319" s="88">
        <f t="shared" si="67"/>
        <v>1258.4000000000001</v>
      </c>
      <c r="N319" s="81"/>
      <c r="O319" s="81"/>
      <c r="R319" s="79"/>
      <c r="S319" s="79"/>
    </row>
    <row r="320" spans="1:19" ht="15.95" customHeight="1" outlineLevel="1" x14ac:dyDescent="0.2">
      <c r="A320" s="199">
        <v>20190041</v>
      </c>
      <c r="B320" s="118" t="s">
        <v>16</v>
      </c>
      <c r="C320" s="5" t="s">
        <v>334</v>
      </c>
      <c r="D320" s="75">
        <v>420200129</v>
      </c>
      <c r="E320" s="195">
        <f t="shared" si="64"/>
        <v>12960</v>
      </c>
      <c r="F320" s="195">
        <f t="shared" si="65"/>
        <v>2721.6</v>
      </c>
      <c r="G320" s="88">
        <f t="shared" si="68"/>
        <v>15681.6</v>
      </c>
      <c r="H320" s="220" t="s">
        <v>346</v>
      </c>
      <c r="I320" s="191">
        <v>1040</v>
      </c>
      <c r="J320" s="191">
        <v>218.4</v>
      </c>
      <c r="K320" s="88">
        <f t="shared" si="67"/>
        <v>1258.4000000000001</v>
      </c>
      <c r="N320" s="81"/>
      <c r="O320" s="81"/>
      <c r="R320" s="79"/>
      <c r="S320" s="79"/>
    </row>
    <row r="321" spans="1:19" ht="15.95" customHeight="1" outlineLevel="1" x14ac:dyDescent="0.2">
      <c r="A321" s="199">
        <v>20190047</v>
      </c>
      <c r="B321" s="118" t="s">
        <v>16</v>
      </c>
      <c r="C321" s="5" t="s">
        <v>335</v>
      </c>
      <c r="D321" s="75">
        <v>420200157</v>
      </c>
      <c r="E321" s="195">
        <f t="shared" si="64"/>
        <v>12960</v>
      </c>
      <c r="F321" s="195">
        <f t="shared" si="65"/>
        <v>2721.6</v>
      </c>
      <c r="G321" s="88">
        <f t="shared" si="68"/>
        <v>15681.6</v>
      </c>
      <c r="H321" s="220" t="s">
        <v>347</v>
      </c>
      <c r="I321" s="191">
        <v>1040</v>
      </c>
      <c r="J321" s="191">
        <v>218.4</v>
      </c>
      <c r="K321" s="88">
        <f t="shared" si="67"/>
        <v>1258.4000000000001</v>
      </c>
      <c r="N321" s="81"/>
      <c r="O321" s="81"/>
      <c r="R321" s="79"/>
      <c r="S321" s="79"/>
    </row>
    <row r="322" spans="1:19" ht="15.95" customHeight="1" outlineLevel="1" x14ac:dyDescent="0.2">
      <c r="A322" s="199">
        <v>20190055</v>
      </c>
      <c r="B322" s="118" t="s">
        <v>16</v>
      </c>
      <c r="C322" s="5" t="s">
        <v>336</v>
      </c>
      <c r="D322" s="75">
        <v>420200185</v>
      </c>
      <c r="E322" s="195">
        <f t="shared" si="64"/>
        <v>12960</v>
      </c>
      <c r="F322" s="195">
        <f t="shared" si="65"/>
        <v>2721.6</v>
      </c>
      <c r="G322" s="88">
        <f t="shared" si="68"/>
        <v>15681.6</v>
      </c>
      <c r="H322" s="220" t="s">
        <v>348</v>
      </c>
      <c r="I322" s="191">
        <v>1040</v>
      </c>
      <c r="J322" s="191">
        <v>218.4</v>
      </c>
      <c r="K322" s="88">
        <f t="shared" si="67"/>
        <v>1258.4000000000001</v>
      </c>
      <c r="N322" s="81"/>
      <c r="O322" s="81"/>
      <c r="R322" s="79"/>
      <c r="S322" s="79"/>
    </row>
    <row r="323" spans="1:19" ht="15.95" customHeight="1" outlineLevel="1" x14ac:dyDescent="0.2">
      <c r="A323" s="199">
        <v>20190069</v>
      </c>
      <c r="B323" s="118" t="s">
        <v>16</v>
      </c>
      <c r="C323" s="5" t="s">
        <v>337</v>
      </c>
      <c r="D323" s="75">
        <v>420200213</v>
      </c>
      <c r="E323" s="195">
        <f t="shared" si="64"/>
        <v>12960</v>
      </c>
      <c r="F323" s="195">
        <f t="shared" si="65"/>
        <v>2721.6</v>
      </c>
      <c r="G323" s="88">
        <f t="shared" si="68"/>
        <v>15681.6</v>
      </c>
      <c r="H323" s="220" t="s">
        <v>349</v>
      </c>
      <c r="I323" s="191">
        <v>1040</v>
      </c>
      <c r="J323" s="191">
        <v>218.4</v>
      </c>
      <c r="K323" s="88">
        <f t="shared" si="67"/>
        <v>1258.4000000000001</v>
      </c>
      <c r="N323" s="81"/>
      <c r="O323" s="81"/>
      <c r="R323" s="79"/>
      <c r="S323" s="79"/>
    </row>
    <row r="324" spans="1:19" ht="15.95" customHeight="1" outlineLevel="1" x14ac:dyDescent="0.2">
      <c r="A324" s="199">
        <v>20190079</v>
      </c>
      <c r="B324" s="118" t="s">
        <v>16</v>
      </c>
      <c r="C324" s="5" t="s">
        <v>338</v>
      </c>
      <c r="D324" s="75">
        <v>420200241</v>
      </c>
      <c r="E324" s="195">
        <f t="shared" si="64"/>
        <v>12960</v>
      </c>
      <c r="F324" s="195">
        <f t="shared" si="65"/>
        <v>2721.6</v>
      </c>
      <c r="G324" s="88">
        <f t="shared" si="68"/>
        <v>15681.6</v>
      </c>
      <c r="H324" s="220" t="s">
        <v>350</v>
      </c>
      <c r="I324" s="191">
        <v>1040</v>
      </c>
      <c r="J324" s="191">
        <v>218.4</v>
      </c>
      <c r="K324" s="88">
        <f t="shared" si="67"/>
        <v>1258.4000000000001</v>
      </c>
      <c r="N324" s="81"/>
      <c r="O324" s="81"/>
      <c r="R324" s="79"/>
      <c r="S324" s="79"/>
    </row>
    <row r="325" spans="1:19" ht="15.95" customHeight="1" outlineLevel="1" x14ac:dyDescent="0.2">
      <c r="A325" s="199">
        <v>20190095</v>
      </c>
      <c r="B325" s="118" t="s">
        <v>16</v>
      </c>
      <c r="C325" s="5" t="s">
        <v>339</v>
      </c>
      <c r="D325" s="75">
        <v>420200269</v>
      </c>
      <c r="E325" s="195">
        <f t="shared" si="64"/>
        <v>12960</v>
      </c>
      <c r="F325" s="195">
        <f t="shared" si="65"/>
        <v>2721.6</v>
      </c>
      <c r="G325" s="88">
        <f t="shared" si="68"/>
        <v>15681.6</v>
      </c>
      <c r="H325" s="220" t="s">
        <v>351</v>
      </c>
      <c r="I325" s="191">
        <v>1040</v>
      </c>
      <c r="J325" s="191">
        <v>218.4</v>
      </c>
      <c r="K325" s="88">
        <f t="shared" si="67"/>
        <v>1258.4000000000001</v>
      </c>
      <c r="N325" s="81"/>
      <c r="O325" s="81"/>
      <c r="R325" s="79"/>
      <c r="S325" s="79"/>
    </row>
    <row r="326" spans="1:19" ht="15.95" customHeight="1" outlineLevel="1" x14ac:dyDescent="0.2">
      <c r="A326" s="199">
        <v>20190104</v>
      </c>
      <c r="B326" s="118" t="s">
        <v>16</v>
      </c>
      <c r="C326" s="5" t="s">
        <v>340</v>
      </c>
      <c r="D326" s="75">
        <v>420200297</v>
      </c>
      <c r="E326" s="195">
        <f t="shared" si="64"/>
        <v>12960</v>
      </c>
      <c r="F326" s="195">
        <f t="shared" si="65"/>
        <v>2721.6</v>
      </c>
      <c r="G326" s="88">
        <f t="shared" si="68"/>
        <v>15681.6</v>
      </c>
      <c r="H326" s="220" t="s">
        <v>352</v>
      </c>
      <c r="I326" s="191">
        <v>1040</v>
      </c>
      <c r="J326" s="191">
        <v>218.4</v>
      </c>
      <c r="K326" s="88">
        <f t="shared" si="67"/>
        <v>1258.4000000000001</v>
      </c>
      <c r="N326" s="81"/>
      <c r="O326" s="81"/>
      <c r="R326" s="79"/>
      <c r="S326" s="79"/>
    </row>
    <row r="327" spans="1:19" ht="15.95" customHeight="1" outlineLevel="1" x14ac:dyDescent="0.2">
      <c r="A327" s="199">
        <v>20190112</v>
      </c>
      <c r="B327" s="118" t="s">
        <v>16</v>
      </c>
      <c r="C327" s="5" t="s">
        <v>341</v>
      </c>
      <c r="D327" s="75">
        <v>420200325</v>
      </c>
      <c r="E327" s="195">
        <f t="shared" si="64"/>
        <v>12960</v>
      </c>
      <c r="F327" s="195">
        <f t="shared" si="65"/>
        <v>2721.6</v>
      </c>
      <c r="G327" s="88">
        <f t="shared" si="68"/>
        <v>15681.6</v>
      </c>
      <c r="H327" s="220" t="s">
        <v>353</v>
      </c>
      <c r="I327" s="191">
        <v>1040</v>
      </c>
      <c r="J327" s="191">
        <v>218.4</v>
      </c>
      <c r="K327" s="88">
        <f t="shared" si="67"/>
        <v>1258.4000000000001</v>
      </c>
      <c r="N327" s="81"/>
      <c r="O327" s="81"/>
      <c r="R327" s="79"/>
      <c r="S327" s="79"/>
    </row>
    <row r="328" spans="1:19" s="15" customFormat="1" ht="15.75" customHeight="1" outlineLevel="1" thickBot="1" x14ac:dyDescent="0.25">
      <c r="A328" s="23"/>
      <c r="B328" s="15" t="s">
        <v>0</v>
      </c>
      <c r="D328" s="16"/>
      <c r="E328" s="17">
        <f>SUM(E316:E327)</f>
        <v>155520</v>
      </c>
      <c r="F328" s="17">
        <f>SUM(F316:F327)</f>
        <v>32659.199999999993</v>
      </c>
      <c r="G328" s="58">
        <f>SUM(G316:G327)</f>
        <v>188179.20000000004</v>
      </c>
      <c r="H328" s="17"/>
      <c r="I328" s="17">
        <f t="shared" ref="I328:K328" si="69">SUM(I316:I327)</f>
        <v>12480</v>
      </c>
      <c r="J328" s="17">
        <f t="shared" si="69"/>
        <v>2620.8000000000006</v>
      </c>
      <c r="K328" s="58">
        <f t="shared" si="69"/>
        <v>15100.799999999997</v>
      </c>
      <c r="L328" s="16"/>
    </row>
    <row r="329" spans="1:19" ht="15.95" customHeight="1" outlineLevel="1" thickTop="1" x14ac:dyDescent="0.2">
      <c r="D329" s="81"/>
      <c r="E329" s="88"/>
      <c r="F329" s="88"/>
      <c r="G329" s="88"/>
      <c r="H329" s="89"/>
      <c r="J329" s="88"/>
      <c r="K329" s="88"/>
      <c r="L329" s="88"/>
      <c r="M329" s="77"/>
      <c r="N329" s="89"/>
      <c r="Q329" s="81"/>
      <c r="S329" s="79"/>
    </row>
    <row r="330" spans="1:19" s="5" customFormat="1" ht="15.75" customHeight="1" outlineLevel="1" x14ac:dyDescent="0.25">
      <c r="A330" s="2"/>
      <c r="B330" s="3" t="s">
        <v>15</v>
      </c>
      <c r="D330" s="7"/>
      <c r="E330" s="6"/>
      <c r="L330" s="75"/>
      <c r="M330" s="75"/>
    </row>
    <row r="331" spans="1:19" ht="15.95" customHeight="1" outlineLevel="1" x14ac:dyDescent="0.2">
      <c r="B331" s="79" t="s">
        <v>1</v>
      </c>
      <c r="C331" s="79" t="s">
        <v>2</v>
      </c>
      <c r="D331" s="81"/>
      <c r="E331" s="81" t="s">
        <v>0</v>
      </c>
      <c r="F331" s="81"/>
    </row>
    <row r="332" spans="1:19" s="212" customFormat="1" ht="15.75" customHeight="1" outlineLevel="1" x14ac:dyDescent="0.25">
      <c r="A332" s="199">
        <v>20190002</v>
      </c>
      <c r="B332" s="5" t="s">
        <v>81</v>
      </c>
      <c r="C332" s="5" t="s">
        <v>354</v>
      </c>
      <c r="D332" s="75">
        <v>8056655616</v>
      </c>
      <c r="E332" s="215">
        <v>45228</v>
      </c>
      <c r="F332" s="221"/>
      <c r="G332" s="117"/>
      <c r="I332" s="5"/>
      <c r="N332" s="213"/>
      <c r="R332" s="214"/>
      <c r="S332" s="214"/>
    </row>
    <row r="333" spans="1:19" s="15" customFormat="1" ht="15.75" customHeight="1" outlineLevel="1" thickBot="1" x14ac:dyDescent="0.25">
      <c r="A333" s="23"/>
      <c r="B333" s="15" t="s">
        <v>0</v>
      </c>
      <c r="D333" s="16"/>
      <c r="E333" s="54">
        <f>SUM(E332:E332)</f>
        <v>45228</v>
      </c>
      <c r="F333" s="17"/>
      <c r="G333" s="17"/>
      <c r="L333" s="14"/>
      <c r="P333" s="16"/>
      <c r="Q333" s="16"/>
    </row>
    <row r="334" spans="1:19" ht="15.95" customHeight="1" thickTop="1" x14ac:dyDescent="0.2"/>
    <row r="335" spans="1:19" s="5" customFormat="1" ht="15.75" customHeight="1" x14ac:dyDescent="0.25">
      <c r="A335" s="2"/>
      <c r="B335" s="3" t="s">
        <v>20</v>
      </c>
      <c r="D335" s="7"/>
      <c r="E335" s="6"/>
      <c r="L335" s="2"/>
      <c r="P335" s="75"/>
      <c r="Q335" s="75"/>
    </row>
    <row r="336" spans="1:19" ht="15.95" customHeight="1" outlineLevel="1" x14ac:dyDescent="0.2">
      <c r="B336" s="79" t="s">
        <v>1</v>
      </c>
      <c r="C336" s="79" t="s">
        <v>2</v>
      </c>
      <c r="E336" s="83" t="s">
        <v>0</v>
      </c>
      <c r="G336" s="81"/>
    </row>
    <row r="337" spans="1:19" ht="15.95" customHeight="1" outlineLevel="2" x14ac:dyDescent="0.2">
      <c r="B337" s="77" t="s">
        <v>116</v>
      </c>
      <c r="C337" s="85"/>
      <c r="D337" s="85"/>
      <c r="E337" s="86">
        <v>-56.15</v>
      </c>
      <c r="F337" s="107"/>
      <c r="K337" s="81"/>
      <c r="L337" s="81"/>
      <c r="N337" s="79"/>
      <c r="R337" s="79"/>
      <c r="S337" s="79"/>
    </row>
    <row r="338" spans="1:19" ht="15.95" customHeight="1" outlineLevel="2" x14ac:dyDescent="0.2">
      <c r="B338" s="77" t="s">
        <v>355</v>
      </c>
      <c r="C338" s="85"/>
      <c r="D338" s="85"/>
      <c r="E338" s="86">
        <v>9852.9</v>
      </c>
      <c r="F338" s="107"/>
      <c r="K338" s="81"/>
      <c r="L338" s="81"/>
      <c r="N338" s="79"/>
      <c r="R338" s="79"/>
      <c r="S338" s="79"/>
    </row>
    <row r="339" spans="1:19" ht="6.75" customHeight="1" outlineLevel="2" x14ac:dyDescent="0.2">
      <c r="B339" s="77"/>
      <c r="C339" s="85"/>
      <c r="D339" s="85"/>
      <c r="E339" s="86"/>
      <c r="F339" s="107"/>
      <c r="K339" s="81"/>
      <c r="L339" s="81"/>
      <c r="N339" s="79"/>
      <c r="R339" s="79"/>
      <c r="S339" s="79"/>
    </row>
    <row r="340" spans="1:19" ht="15.95" customHeight="1" x14ac:dyDescent="0.2">
      <c r="A340" s="77">
        <v>20190001</v>
      </c>
      <c r="B340" s="79" t="s">
        <v>82</v>
      </c>
      <c r="C340" s="79" t="s">
        <v>356</v>
      </c>
      <c r="D340" s="81">
        <v>20200000002</v>
      </c>
      <c r="E340" s="107">
        <v>1331</v>
      </c>
      <c r="G340" s="110"/>
    </row>
    <row r="341" spans="1:19" ht="15.95" customHeight="1" x14ac:dyDescent="0.2">
      <c r="A341" s="77">
        <v>20190009</v>
      </c>
      <c r="B341" s="79" t="s">
        <v>357</v>
      </c>
      <c r="C341" s="79" t="s">
        <v>358</v>
      </c>
      <c r="D341" s="81">
        <v>1120200221</v>
      </c>
      <c r="E341" s="107">
        <v>3908</v>
      </c>
      <c r="G341" s="110"/>
    </row>
    <row r="342" spans="1:19" ht="15.95" customHeight="1" x14ac:dyDescent="0.2">
      <c r="A342" s="77">
        <v>20190010</v>
      </c>
      <c r="B342" s="79" t="s">
        <v>359</v>
      </c>
      <c r="C342" s="79" t="s">
        <v>360</v>
      </c>
      <c r="D342" s="81">
        <v>202010</v>
      </c>
      <c r="E342" s="109">
        <v>4356</v>
      </c>
      <c r="F342" s="109"/>
      <c r="L342" s="77"/>
      <c r="N342" s="79"/>
      <c r="P342" s="81"/>
      <c r="Q342" s="81"/>
      <c r="R342" s="79"/>
      <c r="S342" s="79"/>
    </row>
    <row r="343" spans="1:19" ht="15.95" customHeight="1" x14ac:dyDescent="0.2">
      <c r="A343" s="77">
        <v>20190033</v>
      </c>
      <c r="B343" s="79" t="s">
        <v>17</v>
      </c>
      <c r="C343" s="79" t="s">
        <v>361</v>
      </c>
      <c r="D343" s="81">
        <v>421200076</v>
      </c>
      <c r="E343" s="109">
        <v>163.35</v>
      </c>
      <c r="F343" s="109"/>
      <c r="L343" s="77"/>
      <c r="N343" s="79"/>
      <c r="P343" s="81"/>
      <c r="Q343" s="81"/>
      <c r="R343" s="79"/>
      <c r="S343" s="79"/>
    </row>
    <row r="344" spans="1:19" ht="15.95" customHeight="1" x14ac:dyDescent="0.2">
      <c r="A344" s="77">
        <v>20190036</v>
      </c>
      <c r="B344" s="79" t="s">
        <v>21</v>
      </c>
      <c r="C344" s="79" t="s">
        <v>362</v>
      </c>
      <c r="D344" s="81">
        <v>20206583</v>
      </c>
      <c r="E344" s="109">
        <v>18975.05</v>
      </c>
      <c r="F344" s="109"/>
      <c r="L344" s="77"/>
      <c r="N344" s="79"/>
      <c r="P344" s="81"/>
      <c r="Q344" s="81"/>
      <c r="R344" s="79"/>
      <c r="S344" s="79"/>
    </row>
    <row r="345" spans="1:19" ht="15.95" customHeight="1" outlineLevel="1" x14ac:dyDescent="0.2">
      <c r="A345" s="77">
        <v>20190039</v>
      </c>
      <c r="B345" s="79" t="s">
        <v>16</v>
      </c>
      <c r="C345" s="79" t="s">
        <v>363</v>
      </c>
      <c r="D345" s="81">
        <v>421200102</v>
      </c>
      <c r="E345" s="109">
        <v>69</v>
      </c>
      <c r="F345" s="88"/>
      <c r="G345" s="88"/>
      <c r="J345" s="89"/>
      <c r="K345" s="89"/>
    </row>
    <row r="346" spans="1:19" ht="15.95" customHeight="1" outlineLevel="1" x14ac:dyDescent="0.2">
      <c r="A346" s="77">
        <v>20710004</v>
      </c>
      <c r="B346" s="79" t="s">
        <v>364</v>
      </c>
      <c r="C346" s="79" t="s">
        <v>365</v>
      </c>
      <c r="D346" s="81">
        <v>336186</v>
      </c>
      <c r="E346" s="109">
        <v>132</v>
      </c>
      <c r="F346" s="88"/>
      <c r="G346" s="88"/>
      <c r="J346" s="89"/>
      <c r="K346" s="89"/>
    </row>
    <row r="347" spans="1:19" ht="15.95" customHeight="1" x14ac:dyDescent="0.2">
      <c r="A347" s="77">
        <v>20190050</v>
      </c>
      <c r="B347" s="79" t="s">
        <v>17</v>
      </c>
      <c r="C347" s="79" t="s">
        <v>366</v>
      </c>
      <c r="D347" s="81">
        <v>421200135</v>
      </c>
      <c r="E347" s="107">
        <v>1034</v>
      </c>
      <c r="G347" s="110"/>
    </row>
    <row r="348" spans="1:19" ht="15.95" customHeight="1" x14ac:dyDescent="0.2">
      <c r="A348" s="77">
        <v>20190085</v>
      </c>
      <c r="B348" s="79" t="s">
        <v>17</v>
      </c>
      <c r="C348" s="79" t="s">
        <v>367</v>
      </c>
      <c r="D348" s="81">
        <v>421200209</v>
      </c>
      <c r="E348" s="107">
        <v>798</v>
      </c>
      <c r="G348" s="110"/>
    </row>
    <row r="349" spans="1:19" ht="15.95" customHeight="1" x14ac:dyDescent="0.2">
      <c r="A349" s="87">
        <v>20190086</v>
      </c>
      <c r="B349" s="77" t="s">
        <v>17</v>
      </c>
      <c r="C349" s="79" t="s">
        <v>368</v>
      </c>
      <c r="D349" s="81">
        <v>421200228</v>
      </c>
      <c r="E349" s="107">
        <v>363</v>
      </c>
      <c r="F349" s="83"/>
      <c r="G349" s="109"/>
      <c r="H349" s="89"/>
    </row>
    <row r="350" spans="1:19" ht="15.95" customHeight="1" x14ac:dyDescent="0.2">
      <c r="A350" s="77">
        <v>20710004</v>
      </c>
      <c r="B350" s="79" t="s">
        <v>364</v>
      </c>
      <c r="C350" s="79" t="s">
        <v>369</v>
      </c>
      <c r="D350" s="81">
        <v>2121</v>
      </c>
      <c r="E350" s="107">
        <v>270</v>
      </c>
      <c r="F350" s="83"/>
      <c r="G350" s="109"/>
      <c r="H350" s="89"/>
      <c r="I350" s="89"/>
      <c r="J350" s="89"/>
    </row>
    <row r="351" spans="1:19" ht="15.95" customHeight="1" x14ac:dyDescent="0.2">
      <c r="A351" s="87">
        <v>20190113</v>
      </c>
      <c r="B351" s="77" t="s">
        <v>83</v>
      </c>
      <c r="C351" s="79" t="s">
        <v>370</v>
      </c>
      <c r="D351" s="81">
        <v>20201020</v>
      </c>
      <c r="E351" s="107">
        <v>1725</v>
      </c>
      <c r="F351" s="83"/>
      <c r="G351" s="109"/>
      <c r="H351" s="89"/>
    </row>
    <row r="352" spans="1:19" ht="15.95" customHeight="1" x14ac:dyDescent="0.2">
      <c r="A352" s="77" t="s">
        <v>371</v>
      </c>
      <c r="B352" s="79" t="s">
        <v>17</v>
      </c>
      <c r="C352" s="79" t="s">
        <v>372</v>
      </c>
      <c r="D352" s="81">
        <v>421200273</v>
      </c>
      <c r="E352" s="107">
        <v>71</v>
      </c>
      <c r="G352" s="110"/>
    </row>
    <row r="353" spans="1:19" ht="15.95" customHeight="1" x14ac:dyDescent="0.2">
      <c r="A353" s="77" t="s">
        <v>373</v>
      </c>
      <c r="B353" s="79" t="s">
        <v>374</v>
      </c>
      <c r="C353" s="79" t="s">
        <v>375</v>
      </c>
      <c r="D353" s="81">
        <v>420110027</v>
      </c>
      <c r="E353" s="107">
        <v>990</v>
      </c>
      <c r="G353" s="110"/>
    </row>
    <row r="354" spans="1:19" ht="5.25" customHeight="1" x14ac:dyDescent="0.2">
      <c r="D354" s="81"/>
      <c r="E354" s="107"/>
      <c r="G354" s="110"/>
    </row>
    <row r="355" spans="1:19" ht="15.95" customHeight="1" x14ac:dyDescent="0.2">
      <c r="B355" s="79" t="s">
        <v>376</v>
      </c>
      <c r="C355" s="79" t="s">
        <v>377</v>
      </c>
      <c r="D355" s="81" t="s">
        <v>378</v>
      </c>
      <c r="E355" s="107">
        <v>-400</v>
      </c>
      <c r="G355" s="110"/>
    </row>
    <row r="356" spans="1:19" ht="15.95" customHeight="1" x14ac:dyDescent="0.2">
      <c r="B356" s="79" t="s">
        <v>376</v>
      </c>
      <c r="C356" s="79" t="s">
        <v>379</v>
      </c>
      <c r="D356" s="81" t="s">
        <v>380</v>
      </c>
      <c r="E356" s="107">
        <v>-200</v>
      </c>
      <c r="G356" s="110"/>
    </row>
    <row r="357" spans="1:19" ht="15.95" customHeight="1" x14ac:dyDescent="0.2">
      <c r="B357" s="79" t="s">
        <v>98</v>
      </c>
      <c r="C357" s="79" t="s">
        <v>381</v>
      </c>
      <c r="D357" s="81" t="s">
        <v>382</v>
      </c>
      <c r="E357" s="107">
        <v>-198.44</v>
      </c>
      <c r="G357" s="110"/>
    </row>
    <row r="358" spans="1:19" ht="15.95" customHeight="1" x14ac:dyDescent="0.2">
      <c r="B358" s="79" t="s">
        <v>383</v>
      </c>
      <c r="C358" s="79" t="s">
        <v>384</v>
      </c>
      <c r="D358" s="81" t="s">
        <v>385</v>
      </c>
      <c r="E358" s="107">
        <v>-200</v>
      </c>
      <c r="G358" s="110"/>
    </row>
    <row r="359" spans="1:19" ht="6.75" customHeight="1" outlineLevel="1" x14ac:dyDescent="0.2">
      <c r="D359" s="81"/>
      <c r="E359" s="107"/>
      <c r="F359" s="89"/>
      <c r="G359" s="110"/>
    </row>
    <row r="360" spans="1:19" s="15" customFormat="1" ht="15.75" customHeight="1" thickBot="1" x14ac:dyDescent="0.25">
      <c r="A360" s="23"/>
      <c r="B360" s="15" t="s">
        <v>0</v>
      </c>
      <c r="E360" s="26">
        <f>SUM(E337:E359)</f>
        <v>42983.709999999992</v>
      </c>
      <c r="F360" s="61"/>
      <c r="G360" s="17"/>
      <c r="N360" s="14"/>
      <c r="R360" s="16"/>
      <c r="S360" s="16"/>
    </row>
    <row r="361" spans="1:19" ht="15.95" customHeight="1" thickTop="1" x14ac:dyDescent="0.2">
      <c r="A361" s="87"/>
      <c r="D361" s="98"/>
      <c r="E361" s="98"/>
      <c r="F361" s="98"/>
      <c r="G361" s="98"/>
    </row>
    <row r="362" spans="1:19" s="5" customFormat="1" ht="15.75" customHeight="1" x14ac:dyDescent="0.25">
      <c r="A362" s="2"/>
      <c r="B362" s="3" t="s">
        <v>84</v>
      </c>
      <c r="D362" s="6"/>
      <c r="E362" s="6"/>
      <c r="N362" s="2"/>
      <c r="R362" s="75"/>
      <c r="S362" s="75"/>
    </row>
    <row r="363" spans="1:19" ht="15.95" customHeight="1" outlineLevel="1" x14ac:dyDescent="0.2">
      <c r="B363" s="79" t="s">
        <v>1</v>
      </c>
      <c r="C363" s="79" t="s">
        <v>2</v>
      </c>
      <c r="E363" s="139" t="s">
        <v>6</v>
      </c>
      <c r="F363" s="139" t="s">
        <v>14</v>
      </c>
      <c r="G363" s="81" t="s">
        <v>0</v>
      </c>
      <c r="I363" s="81"/>
    </row>
    <row r="364" spans="1:19" ht="15.95" customHeight="1" outlineLevel="1" x14ac:dyDescent="0.2">
      <c r="A364" s="199">
        <v>20190015</v>
      </c>
      <c r="B364" s="118" t="s">
        <v>17</v>
      </c>
      <c r="C364" s="5" t="s">
        <v>386</v>
      </c>
      <c r="D364" s="75">
        <v>421200030</v>
      </c>
      <c r="E364" s="195">
        <f t="shared" ref="E364:E365" si="70">(3*200)</f>
        <v>600</v>
      </c>
      <c r="F364" s="195">
        <f t="shared" ref="F364:F374" si="71">E364*0.21</f>
        <v>126</v>
      </c>
      <c r="G364" s="195">
        <f t="shared" ref="G364" si="72">ROUND(SUM(E364:F364),2)</f>
        <v>726</v>
      </c>
      <c r="H364" s="89"/>
      <c r="I364" s="89"/>
      <c r="J364" s="89"/>
    </row>
    <row r="365" spans="1:19" ht="15.95" customHeight="1" outlineLevel="1" x14ac:dyDescent="0.2">
      <c r="A365" s="199">
        <v>20190024</v>
      </c>
      <c r="B365" s="118" t="s">
        <v>17</v>
      </c>
      <c r="C365" s="5" t="s">
        <v>387</v>
      </c>
      <c r="D365" s="75">
        <v>421200052</v>
      </c>
      <c r="E365" s="195">
        <f t="shared" si="70"/>
        <v>600</v>
      </c>
      <c r="F365" s="195">
        <f t="shared" si="71"/>
        <v>126</v>
      </c>
      <c r="G365" s="195">
        <f t="shared" ref="G365:G374" si="73">ROUND(SUM(E365:F365),2)</f>
        <v>726</v>
      </c>
      <c r="H365" s="89"/>
      <c r="I365" s="89"/>
      <c r="J365" s="89"/>
    </row>
    <row r="366" spans="1:19" ht="15.95" customHeight="1" outlineLevel="1" x14ac:dyDescent="0.2">
      <c r="A366" s="199">
        <v>20190034</v>
      </c>
      <c r="B366" s="118" t="s">
        <v>17</v>
      </c>
      <c r="C366" s="5" t="s">
        <v>388</v>
      </c>
      <c r="D366" s="75">
        <v>421200068</v>
      </c>
      <c r="E366" s="195">
        <f>(2*200)</f>
        <v>400</v>
      </c>
      <c r="F366" s="195">
        <f t="shared" si="71"/>
        <v>84</v>
      </c>
      <c r="G366" s="195">
        <f t="shared" si="73"/>
        <v>484</v>
      </c>
      <c r="H366" s="89"/>
      <c r="I366" s="89"/>
      <c r="J366" s="89"/>
    </row>
    <row r="367" spans="1:19" ht="15.95" customHeight="1" outlineLevel="1" x14ac:dyDescent="0.2">
      <c r="A367" s="199">
        <v>20190043</v>
      </c>
      <c r="B367" s="118" t="s">
        <v>17</v>
      </c>
      <c r="C367" s="5" t="s">
        <v>389</v>
      </c>
      <c r="D367" s="75">
        <v>421200112</v>
      </c>
      <c r="E367" s="195">
        <f>(2*200)</f>
        <v>400</v>
      </c>
      <c r="F367" s="195">
        <f t="shared" si="71"/>
        <v>84</v>
      </c>
      <c r="G367" s="195">
        <f t="shared" si="73"/>
        <v>484</v>
      </c>
      <c r="H367" s="89"/>
      <c r="I367" s="89"/>
      <c r="J367" s="89"/>
    </row>
    <row r="368" spans="1:19" ht="15.95" customHeight="1" outlineLevel="1" x14ac:dyDescent="0.2">
      <c r="A368" s="199">
        <v>20190048</v>
      </c>
      <c r="B368" s="118" t="s">
        <v>17</v>
      </c>
      <c r="C368" s="5" t="s">
        <v>390</v>
      </c>
      <c r="D368" s="75">
        <v>421200129</v>
      </c>
      <c r="E368" s="195">
        <f>(2*200)</f>
        <v>400</v>
      </c>
      <c r="F368" s="195">
        <f t="shared" si="71"/>
        <v>84</v>
      </c>
      <c r="G368" s="195">
        <f t="shared" si="73"/>
        <v>484</v>
      </c>
      <c r="H368" s="89"/>
      <c r="I368" s="89"/>
      <c r="J368" s="89"/>
    </row>
    <row r="369" spans="1:19" ht="15.95" customHeight="1" outlineLevel="1" x14ac:dyDescent="0.2">
      <c r="A369" s="199">
        <v>20190057</v>
      </c>
      <c r="B369" s="118" t="s">
        <v>17</v>
      </c>
      <c r="C369" s="5" t="s">
        <v>391</v>
      </c>
      <c r="D369" s="75">
        <v>421200163</v>
      </c>
      <c r="E369" s="195">
        <f>(2*200)</f>
        <v>400</v>
      </c>
      <c r="F369" s="195">
        <f t="shared" si="71"/>
        <v>84</v>
      </c>
      <c r="G369" s="195">
        <f t="shared" si="73"/>
        <v>484</v>
      </c>
      <c r="H369" s="89"/>
      <c r="I369" s="89"/>
      <c r="J369" s="89"/>
    </row>
    <row r="370" spans="1:19" ht="15.95" customHeight="1" outlineLevel="1" x14ac:dyDescent="0.2">
      <c r="A370" s="199">
        <v>20190077</v>
      </c>
      <c r="B370" s="118" t="s">
        <v>17</v>
      </c>
      <c r="C370" s="5" t="s">
        <v>392</v>
      </c>
      <c r="D370" s="75">
        <v>421200193</v>
      </c>
      <c r="E370" s="195">
        <f>(2*200)</f>
        <v>400</v>
      </c>
      <c r="F370" s="195">
        <f t="shared" si="71"/>
        <v>84</v>
      </c>
      <c r="G370" s="195">
        <f t="shared" si="73"/>
        <v>484</v>
      </c>
      <c r="H370" s="89"/>
      <c r="I370" s="89"/>
      <c r="J370" s="89"/>
    </row>
    <row r="371" spans="1:19" ht="15.95" customHeight="1" outlineLevel="1" x14ac:dyDescent="0.2">
      <c r="A371" s="199">
        <v>20190081</v>
      </c>
      <c r="B371" s="118" t="s">
        <v>17</v>
      </c>
      <c r="C371" s="5" t="s">
        <v>393</v>
      </c>
      <c r="D371" s="75">
        <v>421200200</v>
      </c>
      <c r="E371" s="195">
        <f>(3*200)</f>
        <v>600</v>
      </c>
      <c r="F371" s="195">
        <f t="shared" si="71"/>
        <v>126</v>
      </c>
      <c r="G371" s="195">
        <f t="shared" si="73"/>
        <v>726</v>
      </c>
      <c r="H371" s="89"/>
      <c r="I371" s="89"/>
      <c r="J371" s="89"/>
    </row>
    <row r="372" spans="1:19" ht="15.95" customHeight="1" outlineLevel="1" x14ac:dyDescent="0.2">
      <c r="A372" s="199">
        <v>20190097</v>
      </c>
      <c r="B372" s="118" t="s">
        <v>17</v>
      </c>
      <c r="C372" s="5" t="s">
        <v>394</v>
      </c>
      <c r="D372" s="75">
        <v>421200236</v>
      </c>
      <c r="E372" s="195">
        <f>(3*200)</f>
        <v>600</v>
      </c>
      <c r="F372" s="195">
        <f t="shared" si="71"/>
        <v>126</v>
      </c>
      <c r="G372" s="195">
        <f t="shared" si="73"/>
        <v>726</v>
      </c>
      <c r="H372" s="89"/>
      <c r="I372" s="89"/>
      <c r="J372" s="89"/>
    </row>
    <row r="373" spans="1:19" ht="15.95" customHeight="1" outlineLevel="1" x14ac:dyDescent="0.2">
      <c r="A373" s="199">
        <v>20190107</v>
      </c>
      <c r="B373" s="118" t="s">
        <v>17</v>
      </c>
      <c r="C373" s="5" t="s">
        <v>395</v>
      </c>
      <c r="D373" s="75">
        <v>421200244</v>
      </c>
      <c r="E373" s="195">
        <f>(3*200)</f>
        <v>600</v>
      </c>
      <c r="F373" s="195">
        <f t="shared" si="71"/>
        <v>126</v>
      </c>
      <c r="G373" s="195">
        <f t="shared" si="73"/>
        <v>726</v>
      </c>
      <c r="H373" s="89"/>
      <c r="I373" s="89"/>
      <c r="J373" s="89"/>
    </row>
    <row r="374" spans="1:19" ht="15.95" customHeight="1" outlineLevel="1" x14ac:dyDescent="0.2">
      <c r="A374" s="199">
        <v>20190114</v>
      </c>
      <c r="B374" s="118" t="s">
        <v>17</v>
      </c>
      <c r="C374" s="5" t="s">
        <v>396</v>
      </c>
      <c r="D374" s="75">
        <v>421200267</v>
      </c>
      <c r="E374" s="195">
        <f>(3*200)</f>
        <v>600</v>
      </c>
      <c r="F374" s="195">
        <f t="shared" si="71"/>
        <v>126</v>
      </c>
      <c r="G374" s="195">
        <f t="shared" si="73"/>
        <v>726</v>
      </c>
      <c r="H374" s="89"/>
      <c r="I374" s="89"/>
      <c r="J374" s="89"/>
    </row>
    <row r="375" spans="1:19" s="223" customFormat="1" ht="15.75" customHeight="1" x14ac:dyDescent="0.2">
      <c r="A375" s="2"/>
      <c r="B375" s="5" t="s">
        <v>397</v>
      </c>
      <c r="C375" s="5"/>
      <c r="D375" s="75"/>
      <c r="E375" s="12"/>
      <c r="F375" s="12"/>
      <c r="G375" s="12">
        <v>112931</v>
      </c>
      <c r="H375" s="5"/>
      <c r="I375" s="5"/>
      <c r="J375" s="5"/>
      <c r="K375" s="5"/>
      <c r="L375" s="5"/>
      <c r="M375" s="222"/>
      <c r="Q375" s="224"/>
      <c r="R375" s="224"/>
    </row>
    <row r="376" spans="1:19" s="223" customFormat="1" ht="9" customHeight="1" x14ac:dyDescent="0.2">
      <c r="A376" s="2"/>
      <c r="B376" s="5"/>
      <c r="C376" s="5"/>
      <c r="D376" s="75"/>
      <c r="E376" s="12"/>
      <c r="F376" s="12"/>
      <c r="G376" s="12"/>
      <c r="H376" s="5"/>
      <c r="I376" s="5"/>
      <c r="J376" s="5"/>
      <c r="K376" s="5"/>
      <c r="L376" s="5"/>
      <c r="M376" s="222"/>
      <c r="Q376" s="224"/>
      <c r="R376" s="224"/>
    </row>
    <row r="377" spans="1:19" s="223" customFormat="1" ht="15.75" customHeight="1" x14ac:dyDescent="0.25">
      <c r="A377" s="199"/>
      <c r="B377" s="118" t="s">
        <v>85</v>
      </c>
      <c r="C377" s="5" t="s">
        <v>398</v>
      </c>
      <c r="D377" s="75"/>
      <c r="E377" s="195"/>
      <c r="F377" s="195"/>
      <c r="G377" s="195">
        <v>100</v>
      </c>
      <c r="H377" s="225"/>
      <c r="I377" s="5"/>
      <c r="J377" s="212"/>
      <c r="K377" s="212"/>
      <c r="L377" s="212"/>
      <c r="M377" s="212"/>
      <c r="N377" s="222"/>
      <c r="R377" s="224"/>
      <c r="S377" s="224"/>
    </row>
    <row r="378" spans="1:19" s="223" customFormat="1" ht="15.75" customHeight="1" x14ac:dyDescent="0.25">
      <c r="A378" s="199"/>
      <c r="B378" s="118" t="s">
        <v>85</v>
      </c>
      <c r="C378" s="5" t="s">
        <v>399</v>
      </c>
      <c r="D378" s="75"/>
      <c r="E378" s="195"/>
      <c r="F378" s="195"/>
      <c r="G378" s="195">
        <v>100</v>
      </c>
      <c r="H378" s="225"/>
      <c r="I378" s="5"/>
      <c r="J378" s="212"/>
      <c r="K378" s="212"/>
      <c r="L378" s="212"/>
      <c r="M378" s="212"/>
      <c r="N378" s="222"/>
      <c r="R378" s="224"/>
      <c r="S378" s="224"/>
    </row>
    <row r="379" spans="1:19" s="223" customFormat="1" ht="15.75" customHeight="1" x14ac:dyDescent="0.25">
      <c r="A379" s="199"/>
      <c r="B379" s="118" t="s">
        <v>85</v>
      </c>
      <c r="C379" s="5" t="s">
        <v>400</v>
      </c>
      <c r="D379" s="75"/>
      <c r="E379" s="195"/>
      <c r="F379" s="195"/>
      <c r="G379" s="195">
        <v>100</v>
      </c>
      <c r="H379" s="225"/>
      <c r="I379" s="5"/>
      <c r="J379" s="212"/>
      <c r="K379" s="212"/>
      <c r="L379" s="212"/>
      <c r="M379" s="212"/>
      <c r="N379" s="222"/>
      <c r="R379" s="224"/>
      <c r="S379" s="224"/>
    </row>
    <row r="380" spans="1:19" s="223" customFormat="1" ht="15.75" customHeight="1" x14ac:dyDescent="0.25">
      <c r="A380" s="199"/>
      <c r="B380" s="118" t="s">
        <v>85</v>
      </c>
      <c r="C380" s="5" t="s">
        <v>401</v>
      </c>
      <c r="D380" s="75"/>
      <c r="E380" s="195"/>
      <c r="F380" s="195"/>
      <c r="G380" s="195">
        <v>100</v>
      </c>
      <c r="H380" s="225"/>
      <c r="I380" s="5"/>
      <c r="J380" s="212"/>
      <c r="K380" s="212"/>
      <c r="L380" s="212"/>
      <c r="M380" s="212"/>
      <c r="N380" s="222"/>
      <c r="R380" s="224"/>
      <c r="S380" s="224"/>
    </row>
    <row r="381" spans="1:19" s="15" customFormat="1" ht="15.75" customHeight="1" outlineLevel="1" thickBot="1" x14ac:dyDescent="0.25">
      <c r="A381" s="23"/>
      <c r="B381" s="15" t="s">
        <v>0</v>
      </c>
      <c r="E381" s="17"/>
      <c r="F381" s="17"/>
      <c r="G381" s="58">
        <f>SUM(G364:G380)</f>
        <v>120107</v>
      </c>
      <c r="H381" s="17"/>
      <c r="M381" s="14"/>
      <c r="Q381" s="16"/>
      <c r="R381" s="16"/>
    </row>
    <row r="382" spans="1:19" ht="15.95" customHeight="1" thickTop="1" x14ac:dyDescent="0.2">
      <c r="M382" s="77"/>
      <c r="N382" s="79"/>
      <c r="Q382" s="81"/>
      <c r="S382" s="79"/>
    </row>
    <row r="383" spans="1:19" s="5" customFormat="1" ht="15.75" customHeight="1" x14ac:dyDescent="0.2">
      <c r="A383" s="11"/>
      <c r="E383" s="28"/>
      <c r="F383" s="12"/>
      <c r="G383" s="74" t="s">
        <v>86</v>
      </c>
      <c r="H383" s="74" t="s">
        <v>87</v>
      </c>
      <c r="I383" s="74" t="s">
        <v>99</v>
      </c>
      <c r="J383" s="74"/>
      <c r="N383" s="2"/>
      <c r="R383" s="75"/>
      <c r="S383" s="75"/>
    </row>
    <row r="384" spans="1:19" s="5" customFormat="1" ht="15.75" customHeight="1" x14ac:dyDescent="0.2">
      <c r="A384" s="62"/>
      <c r="B384" s="63"/>
      <c r="C384" s="63"/>
      <c r="D384" s="64"/>
      <c r="E384" s="65"/>
      <c r="F384" s="66"/>
      <c r="G384" s="67">
        <v>511000</v>
      </c>
      <c r="H384" s="67">
        <v>518000</v>
      </c>
      <c r="I384" s="67">
        <v>511003</v>
      </c>
      <c r="J384" s="67"/>
      <c r="N384" s="2"/>
      <c r="R384" s="75"/>
      <c r="S384" s="75"/>
    </row>
    <row r="385" spans="1:20" s="70" customFormat="1" ht="15.75" customHeight="1" thickBot="1" x14ac:dyDescent="0.3">
      <c r="A385" s="68"/>
      <c r="B385" s="69" t="s">
        <v>32</v>
      </c>
      <c r="D385" s="71">
        <v>955320</v>
      </c>
      <c r="E385" s="72"/>
      <c r="F385" s="72"/>
      <c r="G385" s="73">
        <f>SUM(G387:G399)</f>
        <v>313811.98</v>
      </c>
      <c r="H385" s="73">
        <f>SUM(H387:H399)</f>
        <v>38941.839999999997</v>
      </c>
      <c r="I385" s="73">
        <f>SUM(I387:I399)</f>
        <v>10000</v>
      </c>
      <c r="J385" s="73"/>
      <c r="N385" s="68"/>
      <c r="R385" s="72"/>
      <c r="S385" s="72"/>
    </row>
    <row r="386" spans="1:20" s="5" customFormat="1" ht="15.75" customHeight="1" thickTop="1" x14ac:dyDescent="0.2">
      <c r="A386" s="2"/>
      <c r="B386" s="5" t="s">
        <v>1</v>
      </c>
      <c r="C386" s="5" t="s">
        <v>2</v>
      </c>
      <c r="D386" s="75"/>
      <c r="E386" s="10" t="s">
        <v>6</v>
      </c>
      <c r="F386" s="10" t="s">
        <v>14</v>
      </c>
      <c r="G386" s="75" t="s">
        <v>0</v>
      </c>
      <c r="H386" s="75" t="s">
        <v>0</v>
      </c>
      <c r="N386" s="2"/>
      <c r="R386" s="75"/>
      <c r="S386" s="75"/>
    </row>
    <row r="387" spans="1:20" s="5" customFormat="1" ht="15.95" customHeight="1" x14ac:dyDescent="0.2">
      <c r="A387" s="11" t="s">
        <v>402</v>
      </c>
      <c r="B387" s="5" t="s">
        <v>403</v>
      </c>
      <c r="C387" s="5" t="s">
        <v>109</v>
      </c>
      <c r="D387" s="115" t="s">
        <v>404</v>
      </c>
      <c r="E387" s="12">
        <v>41110</v>
      </c>
      <c r="F387" s="215">
        <f>ROUND(E387*0.15,2)</f>
        <v>6166.5</v>
      </c>
      <c r="G387" s="216">
        <f>ROUND(E387+F387,2)</f>
        <v>47276.5</v>
      </c>
      <c r="H387" s="216"/>
      <c r="K387" s="13"/>
      <c r="N387" s="2"/>
      <c r="R387" s="75"/>
      <c r="S387" s="75"/>
    </row>
    <row r="388" spans="1:20" s="5" customFormat="1" ht="15.95" customHeight="1" x14ac:dyDescent="0.2">
      <c r="A388" s="11" t="s">
        <v>405</v>
      </c>
      <c r="B388" s="5" t="s">
        <v>406</v>
      </c>
      <c r="C388" s="5" t="s">
        <v>407</v>
      </c>
      <c r="D388" s="115" t="s">
        <v>408</v>
      </c>
      <c r="E388" s="12">
        <v>2300</v>
      </c>
      <c r="F388" s="215">
        <v>0</v>
      </c>
      <c r="G388" s="216">
        <f>ROUND(E388+F388,2)</f>
        <v>2300</v>
      </c>
      <c r="H388" s="216"/>
      <c r="N388" s="2"/>
      <c r="R388" s="75"/>
      <c r="S388" s="75"/>
    </row>
    <row r="389" spans="1:20" s="5" customFormat="1" ht="15.95" customHeight="1" x14ac:dyDescent="0.2">
      <c r="A389" s="11" t="s">
        <v>409</v>
      </c>
      <c r="B389" s="5" t="s">
        <v>78</v>
      </c>
      <c r="C389" s="5" t="s">
        <v>110</v>
      </c>
      <c r="D389" s="115" t="s">
        <v>410</v>
      </c>
      <c r="E389" s="12">
        <v>7390</v>
      </c>
      <c r="F389" s="215">
        <f>ROUND(E389*0.21,0)</f>
        <v>1552</v>
      </c>
      <c r="G389" s="216"/>
      <c r="H389" s="216">
        <f>ROUND(SUM(E389:G389),2)</f>
        <v>8942</v>
      </c>
      <c r="N389" s="2"/>
      <c r="R389" s="75"/>
      <c r="S389" s="75"/>
    </row>
    <row r="390" spans="1:20" s="5" customFormat="1" ht="15.95" customHeight="1" x14ac:dyDescent="0.2">
      <c r="A390" s="11" t="s">
        <v>411</v>
      </c>
      <c r="B390" s="5" t="s">
        <v>97</v>
      </c>
      <c r="C390" s="5" t="s">
        <v>412</v>
      </c>
      <c r="D390" s="115" t="s">
        <v>413</v>
      </c>
      <c r="E390" s="12">
        <v>12992.18</v>
      </c>
      <c r="F390" s="215">
        <f>ROUND(E390*0.15,2)</f>
        <v>1948.83</v>
      </c>
      <c r="G390" s="216">
        <f>ROUND(E390+F390,2)</f>
        <v>14941.01</v>
      </c>
      <c r="H390" s="216"/>
      <c r="N390" s="2"/>
      <c r="R390" s="75"/>
      <c r="S390" s="75"/>
    </row>
    <row r="391" spans="1:20" s="5" customFormat="1" ht="15.95" customHeight="1" x14ac:dyDescent="0.2">
      <c r="A391" s="11" t="s">
        <v>414</v>
      </c>
      <c r="B391" s="5" t="s">
        <v>97</v>
      </c>
      <c r="C391" s="5" t="s">
        <v>415</v>
      </c>
      <c r="D391" s="115" t="s">
        <v>416</v>
      </c>
      <c r="E391" s="12">
        <v>12992.18</v>
      </c>
      <c r="F391" s="215">
        <f t="shared" ref="F391:F392" si="74">ROUND(E391*0.15,2)</f>
        <v>1948.83</v>
      </c>
      <c r="G391" s="216">
        <f t="shared" ref="G391:G395" si="75">ROUND(E391+F391,2)</f>
        <v>14941.01</v>
      </c>
      <c r="H391" s="216"/>
      <c r="K391" s="13"/>
      <c r="N391" s="2"/>
      <c r="R391" s="75"/>
      <c r="S391" s="75"/>
    </row>
    <row r="392" spans="1:20" s="5" customFormat="1" ht="15.95" customHeight="1" x14ac:dyDescent="0.2">
      <c r="A392" s="11" t="s">
        <v>417</v>
      </c>
      <c r="B392" s="5" t="s">
        <v>97</v>
      </c>
      <c r="C392" s="5" t="s">
        <v>418</v>
      </c>
      <c r="D392" s="115" t="s">
        <v>419</v>
      </c>
      <c r="E392" s="12">
        <v>12992.18</v>
      </c>
      <c r="F392" s="215">
        <f t="shared" si="74"/>
        <v>1948.83</v>
      </c>
      <c r="G392" s="216">
        <f t="shared" si="75"/>
        <v>14941.01</v>
      </c>
      <c r="H392" s="216"/>
      <c r="N392" s="2"/>
      <c r="R392" s="75"/>
      <c r="S392" s="75"/>
    </row>
    <row r="393" spans="1:20" s="5" customFormat="1" ht="15.95" customHeight="1" x14ac:dyDescent="0.2">
      <c r="A393" s="11" t="s">
        <v>420</v>
      </c>
      <c r="B393" s="5" t="s">
        <v>403</v>
      </c>
      <c r="C393" s="5" t="s">
        <v>109</v>
      </c>
      <c r="D393" s="115" t="s">
        <v>421</v>
      </c>
      <c r="E393" s="12">
        <f>22384+1770+2040+572+2*400</f>
        <v>27566</v>
      </c>
      <c r="F393" s="215">
        <f>ROUND(E393*0.15,2)</f>
        <v>4134.8999999999996</v>
      </c>
      <c r="G393" s="216">
        <f t="shared" si="75"/>
        <v>31700.9</v>
      </c>
      <c r="H393" s="216"/>
      <c r="I393" s="13"/>
      <c r="N393" s="2"/>
      <c r="R393" s="75"/>
      <c r="S393" s="75"/>
    </row>
    <row r="394" spans="1:20" s="5" customFormat="1" ht="15.95" customHeight="1" x14ac:dyDescent="0.2">
      <c r="A394" s="11" t="s">
        <v>422</v>
      </c>
      <c r="B394" s="5" t="s">
        <v>95</v>
      </c>
      <c r="C394" s="5" t="s">
        <v>111</v>
      </c>
      <c r="D394" s="115" t="s">
        <v>423</v>
      </c>
      <c r="E394" s="12">
        <v>39810</v>
      </c>
      <c r="F394" s="215">
        <v>0</v>
      </c>
      <c r="G394" s="216">
        <f t="shared" si="75"/>
        <v>39810</v>
      </c>
      <c r="H394" s="216"/>
      <c r="I394" s="216"/>
      <c r="N394" s="2"/>
      <c r="R394" s="75"/>
      <c r="S394" s="75"/>
    </row>
    <row r="395" spans="1:20" s="5" customFormat="1" ht="15.95" customHeight="1" x14ac:dyDescent="0.2">
      <c r="A395" s="11" t="s">
        <v>424</v>
      </c>
      <c r="B395" s="5" t="s">
        <v>80</v>
      </c>
      <c r="C395" s="5" t="s">
        <v>112</v>
      </c>
      <c r="D395" s="115" t="s">
        <v>425</v>
      </c>
      <c r="E395" s="12">
        <v>104185</v>
      </c>
      <c r="F395" s="215">
        <f>ROUND(E395*0.15,2)</f>
        <v>15627.75</v>
      </c>
      <c r="G395" s="216">
        <f t="shared" si="75"/>
        <v>119812.75</v>
      </c>
      <c r="H395" s="216"/>
      <c r="I395" s="216"/>
      <c r="N395" s="2"/>
      <c r="R395" s="75"/>
      <c r="S395" s="75"/>
    </row>
    <row r="396" spans="1:20" s="5" customFormat="1" ht="15.95" customHeight="1" x14ac:dyDescent="0.2">
      <c r="A396" s="11" t="s">
        <v>426</v>
      </c>
      <c r="B396" s="5" t="s">
        <v>90</v>
      </c>
      <c r="C396" s="5" t="s">
        <v>113</v>
      </c>
      <c r="D396" s="75">
        <v>201401303</v>
      </c>
      <c r="E396" s="12">
        <f>16713+2129+950*3+9*70</f>
        <v>22322</v>
      </c>
      <c r="F396" s="215">
        <v>3684.84</v>
      </c>
      <c r="G396" s="216"/>
      <c r="H396" s="216">
        <f>ROUND(E396+F396,2)</f>
        <v>26006.84</v>
      </c>
      <c r="I396" s="216"/>
      <c r="O396" s="2"/>
      <c r="S396" s="75"/>
      <c r="T396" s="75"/>
    </row>
    <row r="397" spans="1:20" s="5" customFormat="1" ht="15.95" customHeight="1" x14ac:dyDescent="0.2">
      <c r="A397" s="11" t="s">
        <v>427</v>
      </c>
      <c r="B397" s="5" t="s">
        <v>428</v>
      </c>
      <c r="C397" s="5" t="s">
        <v>114</v>
      </c>
      <c r="D397" s="75">
        <v>20119</v>
      </c>
      <c r="E397" s="12">
        <v>10000</v>
      </c>
      <c r="F397" s="215">
        <v>0</v>
      </c>
      <c r="H397" s="216"/>
      <c r="I397" s="216">
        <f>ROUND(E397+F397,2)</f>
        <v>10000</v>
      </c>
      <c r="N397" s="2"/>
      <c r="R397" s="75"/>
      <c r="S397" s="75"/>
    </row>
    <row r="398" spans="1:20" s="5" customFormat="1" ht="15.95" customHeight="1" x14ac:dyDescent="0.2">
      <c r="A398" s="11" t="s">
        <v>429</v>
      </c>
      <c r="B398" s="5" t="s">
        <v>88</v>
      </c>
      <c r="C398" s="5" t="s">
        <v>89</v>
      </c>
      <c r="D398" s="115" t="s">
        <v>430</v>
      </c>
      <c r="E398" s="12">
        <v>3300</v>
      </c>
      <c r="F398" s="215">
        <f>ROUND(E398*0.21,0)</f>
        <v>693</v>
      </c>
      <c r="G398" s="216"/>
      <c r="H398" s="216">
        <f t="shared" ref="H398" si="76">ROUND(E398+F398,2)</f>
        <v>3993</v>
      </c>
      <c r="N398" s="2"/>
      <c r="R398" s="75"/>
      <c r="S398" s="75"/>
    </row>
    <row r="399" spans="1:20" s="5" customFormat="1" ht="15.95" customHeight="1" x14ac:dyDescent="0.2">
      <c r="A399" s="11" t="s">
        <v>431</v>
      </c>
      <c r="B399" s="5" t="s">
        <v>107</v>
      </c>
      <c r="C399" s="5" t="s">
        <v>115</v>
      </c>
      <c r="D399" s="115" t="s">
        <v>432</v>
      </c>
      <c r="E399" s="12">
        <v>24425</v>
      </c>
      <c r="F399" s="215">
        <f>ROUND(E399*0.15,2)</f>
        <v>3663.75</v>
      </c>
      <c r="G399" s="216">
        <f>ROUND(E399+F399,1)</f>
        <v>28088.799999999999</v>
      </c>
      <c r="H399" s="216"/>
      <c r="N399" s="2"/>
      <c r="R399" s="75"/>
      <c r="S399" s="75"/>
    </row>
    <row r="402" spans="1:19" s="5" customFormat="1" ht="15.95" customHeight="1" x14ac:dyDescent="0.2">
      <c r="A402" s="2"/>
      <c r="E402" s="75"/>
      <c r="G402" s="234">
        <v>378300</v>
      </c>
      <c r="H402" s="234">
        <v>378400</v>
      </c>
      <c r="J402" s="234">
        <v>378000</v>
      </c>
      <c r="N402" s="2"/>
      <c r="R402" s="75"/>
      <c r="S402" s="75"/>
    </row>
    <row r="403" spans="1:19" s="227" customFormat="1" ht="15.95" customHeight="1" x14ac:dyDescent="0.2">
      <c r="A403" s="226" t="s">
        <v>100</v>
      </c>
      <c r="B403" s="227" t="s">
        <v>77</v>
      </c>
      <c r="C403" s="227" t="s">
        <v>101</v>
      </c>
      <c r="D403" s="228" t="s">
        <v>102</v>
      </c>
      <c r="E403" s="229">
        <v>5540</v>
      </c>
      <c r="F403" s="230">
        <f>ROUND(E403*0.15,2)</f>
        <v>831</v>
      </c>
      <c r="H403" s="231"/>
      <c r="J403" s="231">
        <f>ROUND(E403+F403,0)</f>
        <v>6371</v>
      </c>
      <c r="N403" s="232"/>
      <c r="R403" s="233"/>
      <c r="S403" s="233"/>
    </row>
    <row r="404" spans="1:19" s="227" customFormat="1" ht="15.95" customHeight="1" x14ac:dyDescent="0.2">
      <c r="A404" s="226" t="s">
        <v>103</v>
      </c>
      <c r="B404" s="227" t="s">
        <v>78</v>
      </c>
      <c r="C404" s="227" t="s">
        <v>104</v>
      </c>
      <c r="D404" s="228" t="s">
        <v>105</v>
      </c>
      <c r="E404" s="229">
        <f>3753+3500</f>
        <v>7253</v>
      </c>
      <c r="F404" s="230">
        <f>ROUND(E404*0.21,2)</f>
        <v>1523.13</v>
      </c>
      <c r="H404" s="231"/>
      <c r="J404" s="231">
        <f>ROUND(E404+F404,0)</f>
        <v>8776</v>
      </c>
      <c r="N404" s="232"/>
      <c r="R404" s="233"/>
      <c r="S404" s="233"/>
    </row>
    <row r="405" spans="1:19" s="227" customFormat="1" ht="11.25" customHeight="1" x14ac:dyDescent="0.2">
      <c r="A405" s="226"/>
      <c r="D405" s="228"/>
      <c r="E405" s="229"/>
      <c r="F405" s="230"/>
      <c r="H405" s="231"/>
      <c r="I405" s="231"/>
      <c r="N405" s="232"/>
      <c r="R405" s="233"/>
      <c r="S405" s="233"/>
    </row>
    <row r="406" spans="1:19" s="5" customFormat="1" ht="19.5" customHeight="1" x14ac:dyDescent="0.2">
      <c r="A406" s="2">
        <v>19100021</v>
      </c>
      <c r="B406" s="5" t="s">
        <v>108</v>
      </c>
      <c r="C406" s="5" t="s">
        <v>436</v>
      </c>
      <c r="D406" s="75">
        <v>1300015919</v>
      </c>
      <c r="E406" s="12">
        <v>2634660</v>
      </c>
      <c r="F406" s="215">
        <v>0</v>
      </c>
      <c r="G406" s="216">
        <f>ROUND(E406+F406,2)</f>
        <v>2634660</v>
      </c>
      <c r="N406" s="2"/>
      <c r="R406" s="75"/>
      <c r="S406" s="75"/>
    </row>
    <row r="407" spans="1:19" s="5" customFormat="1" ht="12" x14ac:dyDescent="0.2">
      <c r="A407" s="2"/>
      <c r="E407" s="75"/>
      <c r="N407" s="2"/>
      <c r="R407" s="75"/>
      <c r="S407" s="75"/>
    </row>
    <row r="408" spans="1:19" s="5" customFormat="1" ht="15.95" customHeight="1" x14ac:dyDescent="0.2">
      <c r="A408" s="11" t="s">
        <v>433</v>
      </c>
      <c r="B408" s="5" t="s">
        <v>97</v>
      </c>
      <c r="C408" s="5" t="s">
        <v>435</v>
      </c>
      <c r="D408" s="115" t="s">
        <v>434</v>
      </c>
      <c r="E408" s="12">
        <f>19232.89+23796.05+26401.38</f>
        <v>69430.320000000007</v>
      </c>
      <c r="F408" s="215">
        <f t="shared" ref="F408" si="77">ROUND(E408*0.15,2)</f>
        <v>10414.549999999999</v>
      </c>
      <c r="G408" s="216"/>
      <c r="H408" s="216">
        <f>ROUND(SUM(E408:G408),2)</f>
        <v>79844.87</v>
      </c>
      <c r="N408" s="2"/>
      <c r="R408" s="75"/>
      <c r="S408" s="75"/>
    </row>
    <row r="409" spans="1:19" s="5" customFormat="1" ht="12" x14ac:dyDescent="0.2">
      <c r="A409" s="2"/>
      <c r="E409" s="75"/>
      <c r="N409" s="2"/>
      <c r="R409" s="75"/>
      <c r="S409" s="75"/>
    </row>
  </sheetData>
  <mergeCells count="30">
    <mergeCell ref="K20:L20"/>
    <mergeCell ref="D131:D133"/>
    <mergeCell ref="D134:D136"/>
    <mergeCell ref="D137:D139"/>
    <mergeCell ref="D141:D143"/>
    <mergeCell ref="D156:D158"/>
    <mergeCell ref="D159:D161"/>
    <mergeCell ref="D162:D164"/>
    <mergeCell ref="D165:D167"/>
    <mergeCell ref="I20:J20"/>
    <mergeCell ref="D144:D146"/>
    <mergeCell ref="D147:D149"/>
    <mergeCell ref="D150:D152"/>
    <mergeCell ref="D153:D155"/>
    <mergeCell ref="D196:D198"/>
    <mergeCell ref="D172:D174"/>
    <mergeCell ref="D175:D177"/>
    <mergeCell ref="D178:D180"/>
    <mergeCell ref="D181:D183"/>
    <mergeCell ref="D184:D186"/>
    <mergeCell ref="D187:D189"/>
    <mergeCell ref="D190:D192"/>
    <mergeCell ref="D193:D195"/>
    <mergeCell ref="D298:D303"/>
    <mergeCell ref="D199:D201"/>
    <mergeCell ref="D202:D204"/>
    <mergeCell ref="D205:D207"/>
    <mergeCell ref="D273:D278"/>
    <mergeCell ref="D282:D287"/>
    <mergeCell ref="D289:D294"/>
  </mergeCells>
  <pageMargins left="0.39370078740157483" right="0.39370078740157483" top="0.59055118110236227" bottom="0.39370078740157483" header="0.31496062992125984" footer="0.11811023622047245"/>
  <pageSetup paperSize="9" orientation="landscape" r:id="rId1"/>
  <headerFooter alignWithMargins="0">
    <oddHeader>&amp;C&amp;10&amp;F - &amp;A</oddHeader>
    <oddFooter>&amp;C&amp;10Strana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služby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Drapáková Vlaďka</dc:creator>
  <cp:lastModifiedBy>Vladimir Bily</cp:lastModifiedBy>
  <cp:lastPrinted>2020-07-31T11:02:13Z</cp:lastPrinted>
  <dcterms:created xsi:type="dcterms:W3CDTF">2012-04-04T12:39:05Z</dcterms:created>
  <dcterms:modified xsi:type="dcterms:W3CDTF">2021-06-10T08:23:41Z</dcterms:modified>
</cp:coreProperties>
</file>